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nouar 2019\Hassoune Conseil\9-Dossiers en cours\WARA\6-Missions analytiques\Sicable\SICABLE 2021\"/>
    </mc:Choice>
  </mc:AlternateContent>
  <xr:revisionPtr revIDLastSave="0" documentId="8_{8BCED943-8CA4-4215-A46A-9FD1E883B6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ynthèse données &amp; ratios" sheetId="3" r:id="rId1"/>
    <sheet name="Contributions" sheetId="4" state="hidden" r:id="rId2"/>
    <sheet name="Premier semestre 2015" sheetId="5" state="hidden" r:id="rId3"/>
  </sheets>
  <externalReferences>
    <externalReference r:id="rId4"/>
  </externalReferences>
  <definedNames>
    <definedName name="crossborder">[1]CBI!#REF!</definedName>
    <definedName name="global">[1]CBI!#REF!</definedName>
    <definedName name="moodynum">[1]CBI!#REF!</definedName>
    <definedName name="stats_1">[1]CBI!#REF!</definedName>
    <definedName name="stats_2">[1]CBI!#REF!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3" l="1"/>
  <c r="F53" i="3"/>
  <c r="G53" i="3"/>
  <c r="D53" i="3"/>
  <c r="D67" i="3" l="1"/>
  <c r="E67" i="3"/>
  <c r="F67" i="3"/>
  <c r="G67" i="3"/>
  <c r="D55" i="3" l="1"/>
  <c r="E55" i="3"/>
  <c r="F55" i="3"/>
  <c r="G55" i="3"/>
  <c r="D52" i="3"/>
  <c r="E52" i="3"/>
  <c r="F52" i="3"/>
  <c r="G52" i="3"/>
  <c r="D51" i="3"/>
  <c r="E51" i="3"/>
  <c r="F51" i="3"/>
  <c r="G51" i="3"/>
  <c r="D50" i="3"/>
  <c r="E50" i="3"/>
  <c r="F50" i="3"/>
  <c r="G50" i="3"/>
  <c r="D49" i="3"/>
  <c r="E49" i="3"/>
  <c r="F49" i="3"/>
  <c r="G49" i="3"/>
  <c r="D48" i="3"/>
  <c r="E48" i="3"/>
  <c r="F48" i="3"/>
  <c r="G48" i="3"/>
  <c r="D43" i="3"/>
  <c r="E43" i="3"/>
  <c r="F43" i="3"/>
  <c r="G43" i="3"/>
  <c r="D29" i="3"/>
  <c r="E29" i="3"/>
  <c r="F29" i="3"/>
  <c r="G29" i="3"/>
  <c r="D21" i="3"/>
  <c r="E21" i="3"/>
  <c r="F21" i="3"/>
  <c r="G21" i="3"/>
  <c r="D22" i="3"/>
  <c r="E22" i="3"/>
  <c r="F22" i="3"/>
  <c r="G22" i="3"/>
  <c r="D23" i="3"/>
  <c r="E23" i="3"/>
  <c r="F23" i="3"/>
  <c r="G23" i="3"/>
  <c r="D6" i="3"/>
  <c r="E6" i="3"/>
  <c r="F6" i="3"/>
  <c r="G6" i="3"/>
  <c r="D9" i="3"/>
  <c r="E9" i="3"/>
  <c r="F9" i="3"/>
  <c r="G9" i="3"/>
  <c r="D10" i="3"/>
  <c r="E10" i="3"/>
  <c r="F10" i="3"/>
  <c r="G10" i="3"/>
  <c r="D11" i="3"/>
  <c r="E11" i="3"/>
  <c r="F11" i="3"/>
  <c r="G1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D16" i="3"/>
  <c r="E16" i="3"/>
  <c r="F16" i="3"/>
  <c r="G16" i="3"/>
  <c r="D17" i="3"/>
  <c r="E17" i="3"/>
  <c r="F17" i="3"/>
  <c r="G17" i="3"/>
  <c r="D36" i="3" l="1"/>
  <c r="E36" i="3"/>
  <c r="F36" i="3"/>
  <c r="G36" i="3"/>
  <c r="C54" i="5" l="1"/>
  <c r="D54" i="5"/>
  <c r="E54" i="5"/>
  <c r="B54" i="5"/>
  <c r="C49" i="5"/>
  <c r="D49" i="5"/>
  <c r="D53" i="5"/>
  <c r="E49" i="5"/>
  <c r="C53" i="5"/>
  <c r="E53" i="5"/>
  <c r="B53" i="5"/>
  <c r="B49" i="5"/>
  <c r="D43" i="5"/>
  <c r="E43" i="5"/>
  <c r="C43" i="5"/>
  <c r="B44" i="5"/>
  <c r="E39" i="5"/>
  <c r="E37" i="5" s="1"/>
  <c r="D39" i="5"/>
  <c r="D37" i="5" s="1"/>
  <c r="C39" i="5"/>
  <c r="C37" i="5" s="1"/>
  <c r="B39" i="5"/>
  <c r="B37" i="5" s="1"/>
  <c r="E23" i="5"/>
  <c r="D23" i="5"/>
  <c r="C23" i="5"/>
  <c r="C25" i="5"/>
  <c r="C27" i="5" s="1"/>
  <c r="D27" i="5"/>
  <c r="E27" i="5"/>
  <c r="B27" i="5"/>
  <c r="B23" i="5"/>
  <c r="C14" i="5"/>
  <c r="D14" i="5"/>
  <c r="E14" i="5"/>
  <c r="B14" i="5"/>
  <c r="C9" i="5"/>
  <c r="C11" i="5" s="1"/>
  <c r="C20" i="5" s="1"/>
  <c r="C22" i="5" s="1"/>
  <c r="D9" i="5"/>
  <c r="D11" i="5" s="1"/>
  <c r="D20" i="5" s="1"/>
  <c r="D22" i="5" s="1"/>
  <c r="D24" i="5" s="1"/>
  <c r="D28" i="5" s="1"/>
  <c r="D30" i="5" s="1"/>
  <c r="D32" i="5" s="1"/>
  <c r="E9" i="5"/>
  <c r="E11" i="5" s="1"/>
  <c r="E20" i="5" s="1"/>
  <c r="E22" i="5" s="1"/>
  <c r="E24" i="5" s="1"/>
  <c r="B9" i="5"/>
  <c r="B11" i="5" s="1"/>
  <c r="B20" i="5" s="1"/>
  <c r="B22" i="5" s="1"/>
  <c r="B24" i="5" s="1"/>
  <c r="G135" i="3"/>
  <c r="G47" i="3"/>
  <c r="G54" i="3"/>
  <c r="G41" i="3"/>
  <c r="G40" i="3"/>
  <c r="G46" i="3"/>
  <c r="G42" i="3"/>
  <c r="G39" i="3"/>
  <c r="G37" i="3"/>
  <c r="G38" i="3"/>
  <c r="M7" i="4"/>
  <c r="L7" i="4"/>
  <c r="K7" i="4"/>
  <c r="J7" i="4"/>
  <c r="I7" i="4"/>
  <c r="G7" i="4"/>
  <c r="F7" i="4"/>
  <c r="E7" i="4"/>
  <c r="D7" i="4"/>
  <c r="C7" i="4"/>
  <c r="F47" i="3"/>
  <c r="F41" i="3"/>
  <c r="F40" i="3"/>
  <c r="E135" i="3"/>
  <c r="D135" i="3"/>
  <c r="D46" i="3"/>
  <c r="F37" i="3"/>
  <c r="F38" i="3"/>
  <c r="F42" i="3"/>
  <c r="F135" i="3"/>
  <c r="G83" i="3"/>
  <c r="E5" i="3"/>
  <c r="E134" i="3" s="1"/>
  <c r="D5" i="3"/>
  <c r="D134" i="3" s="1"/>
  <c r="E41" i="3"/>
  <c r="F54" i="3"/>
  <c r="E40" i="3"/>
  <c r="D40" i="3"/>
  <c r="F39" i="3"/>
  <c r="E54" i="3"/>
  <c r="D54" i="3"/>
  <c r="D37" i="3"/>
  <c r="E47" i="3"/>
  <c r="D47" i="3"/>
  <c r="E42" i="3"/>
  <c r="D42" i="3"/>
  <c r="D41" i="3"/>
  <c r="E39" i="3"/>
  <c r="D39" i="3"/>
  <c r="E37" i="3"/>
  <c r="E38" i="3"/>
  <c r="D38" i="3"/>
  <c r="E72" i="3" l="1"/>
  <c r="F72" i="3"/>
  <c r="G5" i="3"/>
  <c r="G134" i="3" s="1"/>
  <c r="F5" i="3"/>
  <c r="F134" i="3" s="1"/>
  <c r="E57" i="5"/>
  <c r="D138" i="3"/>
  <c r="D72" i="3"/>
  <c r="E27" i="3"/>
  <c r="E46" i="3"/>
  <c r="E138" i="3" s="1"/>
  <c r="F46" i="3"/>
  <c r="F138" i="3" s="1"/>
  <c r="G72" i="3"/>
  <c r="G138" i="3"/>
  <c r="E28" i="5"/>
  <c r="E30" i="5" s="1"/>
  <c r="E32" i="5" s="1"/>
  <c r="B57" i="5"/>
  <c r="D57" i="5"/>
  <c r="D27" i="3"/>
  <c r="G82" i="3"/>
  <c r="F90" i="3"/>
  <c r="G110" i="3"/>
  <c r="G114" i="3"/>
  <c r="C24" i="5"/>
  <c r="C57" i="5"/>
  <c r="F28" i="3"/>
  <c r="B28" i="5"/>
  <c r="B30" i="5" s="1"/>
  <c r="B32" i="5" s="1"/>
  <c r="E132" i="3"/>
  <c r="G86" i="3"/>
  <c r="F78" i="3"/>
  <c r="E84" i="3"/>
  <c r="G95" i="3"/>
  <c r="G133" i="3"/>
  <c r="F89" i="3"/>
  <c r="E78" i="3"/>
  <c r="F86" i="3"/>
  <c r="G28" i="3"/>
  <c r="G87" i="3"/>
  <c r="G85" i="3"/>
  <c r="G84" i="3"/>
  <c r="G81" i="3"/>
  <c r="G80" i="3"/>
  <c r="G113" i="3"/>
  <c r="G112" i="3"/>
  <c r="G105" i="3"/>
  <c r="D28" i="3"/>
  <c r="D44" i="3"/>
  <c r="F106" i="3"/>
  <c r="E130" i="3"/>
  <c r="F85" i="3"/>
  <c r="F83" i="3"/>
  <c r="F82" i="3"/>
  <c r="F95" i="3"/>
  <c r="G78" i="3"/>
  <c r="F87" i="3"/>
  <c r="E86" i="3"/>
  <c r="F84" i="3"/>
  <c r="F81" i="3"/>
  <c r="E81" i="3"/>
  <c r="E82" i="3"/>
  <c r="F80" i="3"/>
  <c r="F103" i="3"/>
  <c r="G103" i="3"/>
  <c r="F102" i="3"/>
  <c r="E28" i="3"/>
  <c r="G27" i="3"/>
  <c r="G90" i="3"/>
  <c r="E90" i="3"/>
  <c r="G89" i="3"/>
  <c r="E85" i="3"/>
  <c r="F105" i="3"/>
  <c r="D130" i="3"/>
  <c r="E103" i="3"/>
  <c r="E44" i="3"/>
  <c r="G102" i="3"/>
  <c r="E131" i="3"/>
  <c r="G101" i="3"/>
  <c r="G111" i="3"/>
  <c r="E102" i="3"/>
  <c r="E106" i="3"/>
  <c r="D131" i="3"/>
  <c r="E105" i="3"/>
  <c r="E101" i="3"/>
  <c r="F101" i="3"/>
  <c r="C7" i="3"/>
  <c r="D7" i="3"/>
  <c r="D127" i="3" s="1"/>
  <c r="E111" i="3"/>
  <c r="F111" i="3"/>
  <c r="E113" i="3"/>
  <c r="F113" i="3"/>
  <c r="E87" i="3"/>
  <c r="E109" i="3"/>
  <c r="E7" i="3"/>
  <c r="E127" i="3" s="1"/>
  <c r="E77" i="3"/>
  <c r="F110" i="3"/>
  <c r="E110" i="3"/>
  <c r="E112" i="3"/>
  <c r="F112" i="3"/>
  <c r="E114" i="3"/>
  <c r="F114" i="3"/>
  <c r="F130" i="3"/>
  <c r="G109" i="3"/>
  <c r="F109" i="3"/>
  <c r="E83" i="3"/>
  <c r="E89" i="3"/>
  <c r="E133" i="3"/>
  <c r="E80" i="3"/>
  <c r="G132" i="3"/>
  <c r="G44" i="3"/>
  <c r="G130" i="3"/>
  <c r="C28" i="5"/>
  <c r="C30" i="5" s="1"/>
  <c r="C32" i="5" s="1"/>
  <c r="E95" i="3"/>
  <c r="E93" i="3" l="1"/>
  <c r="F27" i="3"/>
  <c r="F93" i="3" s="1"/>
  <c r="D56" i="3"/>
  <c r="F94" i="3"/>
  <c r="G94" i="3"/>
  <c r="G77" i="3"/>
  <c r="G106" i="3"/>
  <c r="D132" i="3"/>
  <c r="E104" i="3"/>
  <c r="F7" i="3"/>
  <c r="F77" i="3"/>
  <c r="G7" i="3"/>
  <c r="D133" i="3"/>
  <c r="E94" i="3"/>
  <c r="E123" i="3"/>
  <c r="D123" i="3"/>
  <c r="D124" i="3"/>
  <c r="G124" i="3"/>
  <c r="G123" i="3"/>
  <c r="E124" i="3"/>
  <c r="F131" i="3"/>
  <c r="E79" i="3"/>
  <c r="E18" i="3"/>
  <c r="E141" i="3" s="1"/>
  <c r="D18" i="3"/>
  <c r="D141" i="3" s="1"/>
  <c r="G56" i="3"/>
  <c r="G104" i="3"/>
  <c r="F132" i="3"/>
  <c r="F133" i="3"/>
  <c r="F104" i="3"/>
  <c r="F44" i="3"/>
  <c r="F56" i="3"/>
  <c r="G108" i="3"/>
  <c r="F108" i="3"/>
  <c r="E56" i="3"/>
  <c r="E108" i="3"/>
  <c r="E107" i="3"/>
  <c r="F18" i="3" l="1"/>
  <c r="F141" i="3" s="1"/>
  <c r="F127" i="3"/>
  <c r="G127" i="3"/>
  <c r="E116" i="3"/>
  <c r="F79" i="3"/>
  <c r="G18" i="3"/>
  <c r="G141" i="3" s="1"/>
  <c r="G79" i="3"/>
  <c r="F19" i="3"/>
  <c r="G131" i="3"/>
  <c r="F123" i="3"/>
  <c r="F124" i="3"/>
  <c r="F107" i="3"/>
  <c r="G116" i="3"/>
  <c r="D19" i="3"/>
  <c r="D24" i="3"/>
  <c r="E19" i="3"/>
  <c r="E88" i="3"/>
  <c r="E24" i="3"/>
  <c r="F88" i="3"/>
  <c r="G107" i="3"/>
  <c r="F116" i="3"/>
  <c r="F24" i="3" l="1"/>
  <c r="G88" i="3"/>
  <c r="G24" i="3"/>
  <c r="G19" i="3"/>
  <c r="E25" i="3"/>
  <c r="E92" i="3"/>
  <c r="E30" i="3"/>
  <c r="F139" i="3" s="1"/>
  <c r="D25" i="3"/>
  <c r="D30" i="3"/>
  <c r="E139" i="3" s="1"/>
  <c r="F30" i="3" l="1"/>
  <c r="F25" i="3"/>
  <c r="F92" i="3"/>
  <c r="G25" i="3"/>
  <c r="G92" i="3"/>
  <c r="G30" i="3"/>
  <c r="E122" i="3"/>
  <c r="E126" i="3"/>
  <c r="E125" i="3"/>
  <c r="D122" i="3"/>
  <c r="D125" i="3"/>
  <c r="D126" i="3"/>
  <c r="D31" i="3"/>
  <c r="E31" i="3"/>
  <c r="E96" i="3"/>
  <c r="F96" i="3" l="1"/>
  <c r="G139" i="3"/>
  <c r="F126" i="3"/>
  <c r="F122" i="3"/>
  <c r="F31" i="3"/>
  <c r="F125" i="3"/>
  <c r="G125" i="3"/>
  <c r="G126" i="3"/>
  <c r="G31" i="3"/>
  <c r="G122" i="3"/>
  <c r="G96" i="3"/>
</calcChain>
</file>

<file path=xl/sharedStrings.xml><?xml version="1.0" encoding="utf-8"?>
<sst xmlns="http://schemas.openxmlformats.org/spreadsheetml/2006/main" count="229" uniqueCount="163">
  <si>
    <t>Immobilisations incorporelles</t>
  </si>
  <si>
    <t>Immobilisations corporelles</t>
  </si>
  <si>
    <t>Immobilisations financières</t>
  </si>
  <si>
    <t>Stocks</t>
  </si>
  <si>
    <t>Créances et emplois assimilés</t>
  </si>
  <si>
    <t>Capital</t>
  </si>
  <si>
    <t>Dettes fiscales</t>
  </si>
  <si>
    <t>Services extérieurs</t>
  </si>
  <si>
    <t>Charges de personnel</t>
  </si>
  <si>
    <t>Autres produits</t>
  </si>
  <si>
    <t>Transferts de charges</t>
  </si>
  <si>
    <t>RESULTAT D'EXPLOITATION</t>
  </si>
  <si>
    <t>TOTAL ACTIF</t>
  </si>
  <si>
    <t>TOTAL PASSIF</t>
  </si>
  <si>
    <t>% du CA</t>
  </si>
  <si>
    <t>Impôts et taxes assimilés</t>
  </si>
  <si>
    <t>Reprises de provisions et d'amortissements</t>
  </si>
  <si>
    <t>Résultat financier</t>
  </si>
  <si>
    <t>Dettes circulantes et ressources assimilées H.A.O</t>
  </si>
  <si>
    <t>Dettes sociales</t>
  </si>
  <si>
    <t>RESULTAT NET</t>
  </si>
  <si>
    <t>Autres achats</t>
  </si>
  <si>
    <t>Transport</t>
  </si>
  <si>
    <t xml:space="preserve">Autres charges </t>
  </si>
  <si>
    <t>Clients avances reçues</t>
  </si>
  <si>
    <t>Fournisseurs d'exploitation</t>
  </si>
  <si>
    <t>Autres dettes</t>
  </si>
  <si>
    <t xml:space="preserve">Variation de stocks </t>
  </si>
  <si>
    <t>Achats de marchandises</t>
  </si>
  <si>
    <t>Chiffre d'affaires (CA)</t>
  </si>
  <si>
    <t>PRODUITS D'EXPLOITATION</t>
  </si>
  <si>
    <t>EXCEDENT BRUT D'EXPLOITATION (EBE)</t>
  </si>
  <si>
    <t>% CA</t>
  </si>
  <si>
    <t>Dotations aux amortissements et aux provisions</t>
  </si>
  <si>
    <t>Résultat hors activités ordinaires (H.A.O)</t>
  </si>
  <si>
    <t>Impôt sur le résultat</t>
  </si>
  <si>
    <t>Trésorerie - Actif</t>
  </si>
  <si>
    <t>Capitaux propres</t>
  </si>
  <si>
    <t>Trésorerie - Passif</t>
  </si>
  <si>
    <t>TAUX DE CROISSANCE - BILAN (en %)</t>
  </si>
  <si>
    <t>RATIOS</t>
  </si>
  <si>
    <t>Rentabilité</t>
  </si>
  <si>
    <t>Marge de profit (RN/CA) en %</t>
  </si>
  <si>
    <t>Rotation des actifs (CA/TA) en %</t>
  </si>
  <si>
    <t>Retour sur fonds propres (RN/FP) en %</t>
  </si>
  <si>
    <t>ROA (RN/TA) en %</t>
  </si>
  <si>
    <t>Charges d'exploitation/Produits d'exploitation en %</t>
  </si>
  <si>
    <t>Liquidité</t>
  </si>
  <si>
    <t>Ratio de liquidité générale (AC/PC) en %</t>
  </si>
  <si>
    <t>Ratio de liquidité de l'actif (AC/TA) en %</t>
  </si>
  <si>
    <t>Couverture des stocks (en jours d'achats)</t>
  </si>
  <si>
    <t>Rotation des stocks (en nombre de fois / an)</t>
  </si>
  <si>
    <t>Flexibilité financière</t>
  </si>
  <si>
    <t>Couverture des charges d'intérêt (EBE/intérêts financiers)</t>
  </si>
  <si>
    <t>Notes</t>
  </si>
  <si>
    <t>(2) Dette financière nette =  Dette financière + trésorerie passif - trésorerie actif</t>
  </si>
  <si>
    <t>(3) Taux de TVA utilisé 18%</t>
  </si>
  <si>
    <t>CAF = Capacité d'autofinancement</t>
  </si>
  <si>
    <t>RN = Résultat Net</t>
  </si>
  <si>
    <t>CA = Chiffre d'affaires</t>
  </si>
  <si>
    <t>TA = Total Actif</t>
  </si>
  <si>
    <t>FP = Fonds Propres</t>
  </si>
  <si>
    <t>AC = Actif Circulant</t>
  </si>
  <si>
    <t>PC = Passif Circulant</t>
  </si>
  <si>
    <t>Dettes financières et ressources assimilées</t>
  </si>
  <si>
    <t>Flux libres de tout engagement opérationnel pouvant servir la dette</t>
  </si>
  <si>
    <t>Charges immobilisées</t>
  </si>
  <si>
    <t>Actif-autres</t>
  </si>
  <si>
    <t>Passif-autres</t>
  </si>
  <si>
    <t>CONTRIBUTIONS DES ENTITES CONSOLIDEES (en millions de FCFA)</t>
  </si>
  <si>
    <t>GFI</t>
  </si>
  <si>
    <t>CHIMTEC CI</t>
  </si>
  <si>
    <t>CHIMTEC CAMEROUN</t>
  </si>
  <si>
    <t>CHIMTEC SENEGAL</t>
  </si>
  <si>
    <t>EMBALMALI</t>
  </si>
  <si>
    <t>EMBALFASO</t>
  </si>
  <si>
    <t>FASOPLAST</t>
  </si>
  <si>
    <t>COFISAC</t>
  </si>
  <si>
    <t>FUMOA</t>
  </si>
  <si>
    <t>IVOIRE COTON</t>
  </si>
  <si>
    <t>FASO COTON</t>
  </si>
  <si>
    <t>TOTAL BILAN</t>
  </si>
  <si>
    <t>????</t>
  </si>
  <si>
    <t>FILTISAC</t>
  </si>
  <si>
    <t>Comptes sociaux audites - Premier semestre 2015</t>
  </si>
  <si>
    <t>Production vendue</t>
  </si>
  <si>
    <t>Prestations vendues</t>
  </si>
  <si>
    <t>Ventes de negoce</t>
  </si>
  <si>
    <t>C.A.</t>
  </si>
  <si>
    <t>Production stockee</t>
  </si>
  <si>
    <t>Achats negoce</t>
  </si>
  <si>
    <t>Total production</t>
  </si>
  <si>
    <t>Achats consommes</t>
  </si>
  <si>
    <t>Total consommations</t>
  </si>
  <si>
    <t>COMPTE D'EXPLOITATION</t>
  </si>
  <si>
    <t>12 mois 2013</t>
  </si>
  <si>
    <t>12 mois 2014</t>
  </si>
  <si>
    <t>6 mois 2015</t>
  </si>
  <si>
    <t>estim. 12 mois 2015</t>
  </si>
  <si>
    <t>Autres achats non stockes</t>
  </si>
  <si>
    <t>Services exterieurs</t>
  </si>
  <si>
    <t>Impots et taxes</t>
  </si>
  <si>
    <t>Valeur ajoutee</t>
  </si>
  <si>
    <t>Frais de personnel</t>
  </si>
  <si>
    <t>EBE</t>
  </si>
  <si>
    <t>Dotations aux amortissement et provision, nettes</t>
  </si>
  <si>
    <t>Resultat d'exploitation</t>
  </si>
  <si>
    <t>Charge/produit financier net</t>
  </si>
  <si>
    <t>Dividendes percus</t>
  </si>
  <si>
    <t>Resultats financiers</t>
  </si>
  <si>
    <t>Resultats des activites ordinaires</t>
  </si>
  <si>
    <t>Resultats HAO</t>
  </si>
  <si>
    <t>IS</t>
  </si>
  <si>
    <t>Resultat net</t>
  </si>
  <si>
    <t>Resultat courant avant impot</t>
  </si>
  <si>
    <t>Autres charges/produits</t>
  </si>
  <si>
    <t>(millions de FCFA)</t>
  </si>
  <si>
    <t>BILAN</t>
  </si>
  <si>
    <t>Tresorerie</t>
  </si>
  <si>
    <t>Total actif circulant</t>
  </si>
  <si>
    <t>Immobilisations corporelles et incorporelles</t>
  </si>
  <si>
    <t>Immobilisations financieres</t>
  </si>
  <si>
    <t>Autres actifs circulants</t>
  </si>
  <si>
    <t>Debiteurs affilies</t>
  </si>
  <si>
    <t>Clients</t>
  </si>
  <si>
    <t>Decouverts et emprunts CT</t>
  </si>
  <si>
    <t>Fournisseurs</t>
  </si>
  <si>
    <t>Dividendes a payer</t>
  </si>
  <si>
    <t>Autres dettes CT</t>
  </si>
  <si>
    <t>Total passif circulant</t>
  </si>
  <si>
    <t>Crediteurs affilies</t>
  </si>
  <si>
    <t>Dettes LT</t>
  </si>
  <si>
    <t>Provisions pour risques et charges</t>
  </si>
  <si>
    <t>Total passif LT</t>
  </si>
  <si>
    <t>Report a nouveau</t>
  </si>
  <si>
    <t>Total fonds propres</t>
  </si>
  <si>
    <t>Taux de distribution des dividendes en %</t>
  </si>
  <si>
    <t>Achats de matières premières</t>
  </si>
  <si>
    <t xml:space="preserve"> </t>
  </si>
  <si>
    <t>COMPTE DE RESULTATS (en millions de FCFA)</t>
  </si>
  <si>
    <t>BILAN (en millions de FCFA)</t>
  </si>
  <si>
    <t>INFORMATIONS COMPLEMENTAIRES (en millions  de FCFA)</t>
  </si>
  <si>
    <t>N/A</t>
  </si>
  <si>
    <t>Capacité d'auto-financement globale (CAFG)</t>
  </si>
  <si>
    <t>Variation de BFR</t>
  </si>
  <si>
    <t>Investissements</t>
  </si>
  <si>
    <t>Remboursements d'emprunts</t>
  </si>
  <si>
    <t>Nouveaux emprunts</t>
  </si>
  <si>
    <t>Augmentation de capital / Subvention</t>
  </si>
  <si>
    <t>Distribution de dividendes</t>
  </si>
  <si>
    <t>Variation de trésorerie</t>
  </si>
  <si>
    <t>Trésorerie nette d'ouverture</t>
  </si>
  <si>
    <t>Trésorerie nette de clôture</t>
  </si>
  <si>
    <t>check tréso bilan</t>
  </si>
  <si>
    <t>Dette financière nette (2)</t>
  </si>
  <si>
    <t>Gearing (Dette financière + tréso passif/FP) en %</t>
  </si>
  <si>
    <t>(Dette financière + tréso passif)/EBE (x)</t>
  </si>
  <si>
    <r>
      <t xml:space="preserve">Délais clients (en jours de CA) </t>
    </r>
    <r>
      <rPr>
        <sz val="12"/>
        <color theme="1" tint="0.499984740745262"/>
        <rFont val="Garamond"/>
        <family val="1"/>
      </rPr>
      <t>(3)</t>
    </r>
  </si>
  <si>
    <r>
      <t xml:space="preserve">Délais fournisseurs (en jours d'achats) </t>
    </r>
    <r>
      <rPr>
        <sz val="12"/>
        <color theme="1" tint="0.499984740745262"/>
        <rFont val="Garamond"/>
        <family val="1"/>
      </rPr>
      <t>(3)</t>
    </r>
  </si>
  <si>
    <t>TAUX DE CROISSANCE - COMPTE DE RESULTATS (%)</t>
  </si>
  <si>
    <t>Levier financier (TA/FP) en (x)</t>
  </si>
  <si>
    <t>-</t>
  </si>
  <si>
    <t>SICABLE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</si>
</sst>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0.0%"/>
    <numFmt numFmtId="168" formatCode="#,##0.000"/>
    <numFmt numFmtId="169" formatCode="#,##0.0"/>
    <numFmt numFmtId="171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theme="0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8"/>
      <name val="Arial"/>
      <family val="2"/>
    </font>
    <font>
      <b/>
      <u/>
      <sz val="12"/>
      <color theme="0"/>
      <name val="Garamond"/>
      <family val="1"/>
    </font>
    <font>
      <b/>
      <sz val="12"/>
      <color theme="0"/>
      <name val="Garamond"/>
      <family val="1"/>
    </font>
    <font>
      <b/>
      <i/>
      <sz val="12"/>
      <color theme="1"/>
      <name val="Garamond"/>
      <family val="1"/>
    </font>
    <font>
      <i/>
      <sz val="12"/>
      <color theme="0"/>
      <name val="Garamond"/>
      <family val="1"/>
    </font>
    <font>
      <b/>
      <sz val="12"/>
      <name val="Garamond"/>
      <family val="1"/>
    </font>
    <font>
      <sz val="12"/>
      <color theme="1" tint="0.499984740745262"/>
      <name val="Garamond"/>
      <family val="1"/>
    </font>
    <font>
      <b/>
      <sz val="14"/>
      <color rgb="FFC0000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3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/>
  </cellStyleXfs>
  <cellXfs count="127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3" fontId="12" fillId="0" borderId="0" xfId="0" applyNumberFormat="1" applyFont="1" applyBorder="1"/>
    <xf numFmtId="0" fontId="12" fillId="0" borderId="0" xfId="0" applyFont="1"/>
    <xf numFmtId="0" fontId="14" fillId="0" borderId="0" xfId="0" applyFont="1"/>
    <xf numFmtId="0" fontId="11" fillId="0" borderId="0" xfId="0" applyFont="1" applyBorder="1"/>
    <xf numFmtId="3" fontId="13" fillId="0" borderId="0" xfId="0" applyNumberFormat="1" applyFont="1" applyBorder="1"/>
    <xf numFmtId="0" fontId="12" fillId="0" borderId="0" xfId="0" applyFont="1" applyBorder="1"/>
    <xf numFmtId="0" fontId="14" fillId="0" borderId="0" xfId="0" applyFont="1" applyBorder="1"/>
    <xf numFmtId="168" fontId="14" fillId="0" borderId="0" xfId="0" applyNumberFormat="1" applyFont="1" applyBorder="1"/>
    <xf numFmtId="168" fontId="15" fillId="0" borderId="0" xfId="0" applyNumberFormat="1" applyFont="1" applyBorder="1"/>
    <xf numFmtId="3" fontId="15" fillId="0" borderId="0" xfId="0" applyNumberFormat="1" applyFont="1" applyBorder="1"/>
    <xf numFmtId="0" fontId="10" fillId="0" borderId="0" xfId="0" applyFont="1" applyAlignment="1">
      <alignment horizontal="left"/>
    </xf>
    <xf numFmtId="0" fontId="16" fillId="2" borderId="11" xfId="0" applyFont="1" applyFill="1" applyBorder="1" applyAlignment="1">
      <alignment horizontal="left"/>
    </xf>
    <xf numFmtId="0" fontId="1" fillId="0" borderId="12" xfId="0" applyFont="1" applyBorder="1"/>
    <xf numFmtId="0" fontId="1" fillId="0" borderId="12" xfId="0" applyFont="1" applyBorder="1" applyAlignment="1">
      <alignment horizontal="right"/>
    </xf>
    <xf numFmtId="0" fontId="1" fillId="0" borderId="13" xfId="0" applyFont="1" applyBorder="1"/>
    <xf numFmtId="14" fontId="10" fillId="2" borderId="14" xfId="0" applyNumberFormat="1" applyFont="1" applyFill="1" applyBorder="1" applyAlignment="1">
      <alignment horizontal="left"/>
    </xf>
    <xf numFmtId="3" fontId="0" fillId="0" borderId="14" xfId="0" applyNumberFormat="1" applyBorder="1"/>
    <xf numFmtId="3" fontId="7" fillId="0" borderId="14" xfId="0" applyNumberFormat="1" applyFont="1" applyBorder="1"/>
    <xf numFmtId="0" fontId="0" fillId="0" borderId="14" xfId="0" applyBorder="1"/>
    <xf numFmtId="3" fontId="1" fillId="0" borderId="1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2" xfId="0" applyFont="1" applyBorder="1"/>
    <xf numFmtId="0" fontId="6" fillId="0" borderId="0" xfId="0" applyFont="1"/>
    <xf numFmtId="3" fontId="8" fillId="0" borderId="14" xfId="0" applyNumberFormat="1" applyFont="1" applyBorder="1" applyAlignment="1">
      <alignment horizontal="center"/>
    </xf>
    <xf numFmtId="3" fontId="8" fillId="4" borderId="14" xfId="0" applyNumberFormat="1" applyFon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5" borderId="14" xfId="0" applyFill="1" applyBorder="1"/>
    <xf numFmtId="0" fontId="1" fillId="5" borderId="0" xfId="0" applyFont="1" applyFill="1"/>
    <xf numFmtId="0" fontId="1" fillId="5" borderId="14" xfId="0" applyFont="1" applyFill="1" applyBorder="1"/>
    <xf numFmtId="0" fontId="17" fillId="6" borderId="14" xfId="0" applyFont="1" applyFill="1" applyBorder="1"/>
    <xf numFmtId="0" fontId="17" fillId="6" borderId="14" xfId="0" applyFont="1" applyFill="1" applyBorder="1" applyAlignment="1">
      <alignment horizontal="right"/>
    </xf>
    <xf numFmtId="38" fontId="0" fillId="5" borderId="14" xfId="0" applyNumberFormat="1" applyFill="1" applyBorder="1" applyAlignment="1">
      <alignment horizontal="right"/>
    </xf>
    <xf numFmtId="38" fontId="0" fillId="5" borderId="14" xfId="0" applyNumberFormat="1" applyFill="1" applyBorder="1"/>
    <xf numFmtId="38" fontId="1" fillId="5" borderId="14" xfId="0" applyNumberFormat="1" applyFont="1" applyFill="1" applyBorder="1" applyAlignment="1">
      <alignment horizontal="right"/>
    </xf>
    <xf numFmtId="0" fontId="6" fillId="5" borderId="0" xfId="0" applyFont="1" applyFill="1"/>
    <xf numFmtId="38" fontId="1" fillId="5" borderId="14" xfId="0" applyNumberFormat="1" applyFont="1" applyFill="1" applyBorder="1"/>
    <xf numFmtId="0" fontId="0" fillId="5" borderId="14" xfId="0" applyFont="1" applyFill="1" applyBorder="1"/>
    <xf numFmtId="38" fontId="0" fillId="5" borderId="14" xfId="0" applyNumberFormat="1" applyFont="1" applyFill="1" applyBorder="1" applyAlignment="1">
      <alignment horizontal="right"/>
    </xf>
    <xf numFmtId="38" fontId="0" fillId="5" borderId="14" xfId="0" applyNumberFormat="1" applyFont="1" applyFill="1" applyBorder="1"/>
    <xf numFmtId="38" fontId="0" fillId="5" borderId="0" xfId="0" applyNumberFormat="1" applyFill="1" applyAlignment="1">
      <alignment horizontal="right"/>
    </xf>
    <xf numFmtId="0" fontId="20" fillId="7" borderId="2" xfId="0" applyFont="1" applyFill="1" applyBorder="1"/>
    <xf numFmtId="0" fontId="21" fillId="0" borderId="4" xfId="0" applyFont="1" applyBorder="1" applyAlignment="1">
      <alignment horizontal="left"/>
    </xf>
    <xf numFmtId="0" fontId="21" fillId="0" borderId="0" xfId="0" applyFont="1"/>
    <xf numFmtId="0" fontId="22" fillId="0" borderId="0" xfId="0" applyFont="1"/>
    <xf numFmtId="0" fontId="21" fillId="0" borderId="6" xfId="0" applyFont="1" applyBorder="1" applyAlignment="1">
      <alignment horizontal="left"/>
    </xf>
    <xf numFmtId="0" fontId="21" fillId="0" borderId="4" xfId="0" applyFont="1" applyBorder="1"/>
    <xf numFmtId="0" fontId="21" fillId="0" borderId="0" xfId="0" applyFont="1" applyBorder="1"/>
    <xf numFmtId="0" fontId="21" fillId="0" borderId="6" xfId="0" applyFont="1" applyBorder="1"/>
    <xf numFmtId="3" fontId="21" fillId="0" borderId="0" xfId="0" applyNumberFormat="1" applyFont="1"/>
    <xf numFmtId="0" fontId="24" fillId="7" borderId="2" xfId="0" applyFont="1" applyFill="1" applyBorder="1"/>
    <xf numFmtId="1" fontId="25" fillId="7" borderId="1" xfId="0" applyNumberFormat="1" applyFont="1" applyFill="1" applyBorder="1"/>
    <xf numFmtId="1" fontId="25" fillId="7" borderId="3" xfId="0" applyNumberFormat="1" applyFont="1" applyFill="1" applyBorder="1"/>
    <xf numFmtId="3" fontId="21" fillId="0" borderId="0" xfId="0" applyNumberFormat="1" applyFont="1" applyBorder="1"/>
    <xf numFmtId="3" fontId="21" fillId="0" borderId="5" xfId="0" applyNumberFormat="1" applyFont="1" applyBorder="1"/>
    <xf numFmtId="3" fontId="21" fillId="0" borderId="7" xfId="0" applyNumberFormat="1" applyFont="1" applyBorder="1"/>
    <xf numFmtId="3" fontId="21" fillId="0" borderId="8" xfId="0" applyNumberFormat="1" applyFont="1" applyBorder="1"/>
    <xf numFmtId="0" fontId="22" fillId="3" borderId="4" xfId="0" applyFont="1" applyFill="1" applyBorder="1" applyAlignment="1">
      <alignment horizontal="left"/>
    </xf>
    <xf numFmtId="3" fontId="22" fillId="3" borderId="0" xfId="0" applyNumberFormat="1" applyFont="1" applyFill="1" applyBorder="1"/>
    <xf numFmtId="3" fontId="22" fillId="3" borderId="1" xfId="0" applyNumberFormat="1" applyFont="1" applyFill="1" applyBorder="1"/>
    <xf numFmtId="3" fontId="22" fillId="3" borderId="5" xfId="0" applyNumberFormat="1" applyFont="1" applyFill="1" applyBorder="1"/>
    <xf numFmtId="0" fontId="22" fillId="3" borderId="2" xfId="0" applyFont="1" applyFill="1" applyBorder="1"/>
    <xf numFmtId="3" fontId="22" fillId="3" borderId="3" xfId="0" applyNumberFormat="1" applyFont="1" applyFill="1" applyBorder="1"/>
    <xf numFmtId="0" fontId="26" fillId="3" borderId="4" xfId="0" applyFont="1" applyFill="1" applyBorder="1"/>
    <xf numFmtId="166" fontId="26" fillId="3" borderId="0" xfId="1" applyNumberFormat="1" applyFont="1" applyFill="1" applyBorder="1"/>
    <xf numFmtId="166" fontId="26" fillId="3" borderId="5" xfId="1" applyNumberFormat="1" applyFont="1" applyFill="1" applyBorder="1"/>
    <xf numFmtId="0" fontId="26" fillId="0" borderId="0" xfId="0" applyFont="1"/>
    <xf numFmtId="0" fontId="26" fillId="3" borderId="6" xfId="0" applyFont="1" applyFill="1" applyBorder="1"/>
    <xf numFmtId="166" fontId="26" fillId="3" borderId="7" xfId="1" applyNumberFormat="1" applyFont="1" applyFill="1" applyBorder="1"/>
    <xf numFmtId="166" fontId="26" fillId="3" borderId="8" xfId="1" applyNumberFormat="1" applyFont="1" applyFill="1" applyBorder="1"/>
    <xf numFmtId="3" fontId="22" fillId="0" borderId="0" xfId="0" applyNumberFormat="1" applyFont="1"/>
    <xf numFmtId="0" fontId="22" fillId="3" borderId="9" xfId="0" applyFont="1" applyFill="1" applyBorder="1"/>
    <xf numFmtId="3" fontId="22" fillId="3" borderId="10" xfId="0" applyNumberFormat="1" applyFont="1" applyFill="1" applyBorder="1"/>
    <xf numFmtId="3" fontId="22" fillId="3" borderId="15" xfId="0" applyNumberFormat="1" applyFont="1" applyFill="1" applyBorder="1"/>
    <xf numFmtId="3" fontId="21" fillId="0" borderId="1" xfId="0" applyNumberFormat="1" applyFont="1" applyBorder="1"/>
    <xf numFmtId="3" fontId="21" fillId="0" borderId="3" xfId="0" applyNumberFormat="1" applyFont="1" applyBorder="1"/>
    <xf numFmtId="0" fontId="21" fillId="5" borderId="4" xfId="0" applyFont="1" applyFill="1" applyBorder="1"/>
    <xf numFmtId="3" fontId="21" fillId="5" borderId="0" xfId="0" applyNumberFormat="1" applyFont="1" applyFill="1" applyBorder="1"/>
    <xf numFmtId="3" fontId="21" fillId="5" borderId="5" xfId="0" applyNumberFormat="1" applyFont="1" applyFill="1" applyBorder="1"/>
    <xf numFmtId="9" fontId="21" fillId="0" borderId="0" xfId="1" applyFont="1"/>
    <xf numFmtId="0" fontId="22" fillId="0" borderId="4" xfId="0" applyFont="1" applyBorder="1"/>
    <xf numFmtId="0" fontId="22" fillId="0" borderId="0" xfId="0" applyFont="1" applyBorder="1"/>
    <xf numFmtId="0" fontId="22" fillId="0" borderId="4" xfId="0" applyFont="1" applyBorder="1" applyAlignment="1">
      <alignment horizontal="left" indent="1"/>
    </xf>
    <xf numFmtId="3" fontId="22" fillId="0" borderId="0" xfId="0" applyNumberFormat="1" applyFont="1" applyBorder="1"/>
    <xf numFmtId="3" fontId="22" fillId="0" borderId="5" xfId="0" applyNumberFormat="1" applyFont="1" applyBorder="1"/>
    <xf numFmtId="0" fontId="21" fillId="0" borderId="4" xfId="0" applyFont="1" applyBorder="1" applyAlignment="1">
      <alignment horizontal="left" indent="1"/>
    </xf>
    <xf numFmtId="3" fontId="21" fillId="0" borderId="0" xfId="0" applyNumberFormat="1" applyFont="1" applyFill="1" applyBorder="1"/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7" fillId="0" borderId="4" xfId="0" applyFont="1" applyBorder="1"/>
    <xf numFmtId="0" fontId="28" fillId="3" borderId="6" xfId="0" applyFont="1" applyFill="1" applyBorder="1"/>
    <xf numFmtId="0" fontId="22" fillId="3" borderId="7" xfId="0" applyFont="1" applyFill="1" applyBorder="1"/>
    <xf numFmtId="3" fontId="22" fillId="3" borderId="7" xfId="0" applyNumberFormat="1" applyFont="1" applyFill="1" applyBorder="1"/>
    <xf numFmtId="3" fontId="22" fillId="3" borderId="8" xfId="0" applyNumberFormat="1" applyFont="1" applyFill="1" applyBorder="1"/>
    <xf numFmtId="169" fontId="21" fillId="0" borderId="0" xfId="0" quotePrefix="1" applyNumberFormat="1" applyFont="1" applyBorder="1" applyAlignment="1">
      <alignment horizontal="right"/>
    </xf>
    <xf numFmtId="169" fontId="21" fillId="0" borderId="0" xfId="0" applyNumberFormat="1" applyFont="1" applyBorder="1"/>
    <xf numFmtId="169" fontId="21" fillId="0" borderId="5" xfId="0" applyNumberFormat="1" applyFont="1" applyBorder="1"/>
    <xf numFmtId="169" fontId="21" fillId="0" borderId="5" xfId="0" applyNumberFormat="1" applyFont="1" applyBorder="1" applyAlignment="1">
      <alignment horizontal="right"/>
    </xf>
    <xf numFmtId="169" fontId="21" fillId="0" borderId="0" xfId="0" applyNumberFormat="1" applyFont="1" applyBorder="1" applyAlignment="1">
      <alignment horizontal="right"/>
    </xf>
    <xf numFmtId="169" fontId="21" fillId="0" borderId="7" xfId="0" quotePrefix="1" applyNumberFormat="1" applyFont="1" applyBorder="1" applyAlignment="1">
      <alignment horizontal="right"/>
    </xf>
    <xf numFmtId="169" fontId="21" fillId="0" borderId="7" xfId="0" applyNumberFormat="1" applyFont="1" applyBorder="1"/>
    <xf numFmtId="169" fontId="21" fillId="0" borderId="8" xfId="0" applyNumberFormat="1" applyFont="1" applyBorder="1"/>
    <xf numFmtId="0" fontId="22" fillId="3" borderId="4" xfId="0" applyFont="1" applyFill="1" applyBorder="1"/>
    <xf numFmtId="4" fontId="21" fillId="0" borderId="0" xfId="0" applyNumberFormat="1" applyFont="1" applyBorder="1"/>
    <xf numFmtId="4" fontId="21" fillId="0" borderId="5" xfId="0" applyNumberFormat="1" applyFont="1" applyBorder="1"/>
    <xf numFmtId="171" fontId="21" fillId="0" borderId="0" xfId="0" applyNumberFormat="1" applyFont="1" applyBorder="1"/>
    <xf numFmtId="171" fontId="21" fillId="0" borderId="5" xfId="0" applyNumberFormat="1" applyFont="1" applyBorder="1"/>
    <xf numFmtId="169" fontId="21" fillId="0" borderId="5" xfId="0" quotePrefix="1" applyNumberFormat="1" applyFont="1" applyBorder="1" applyAlignment="1">
      <alignment horizontal="right"/>
    </xf>
    <xf numFmtId="0" fontId="21" fillId="3" borderId="2" xfId="0" applyFont="1" applyFill="1" applyBorder="1"/>
    <xf numFmtId="0" fontId="21" fillId="3" borderId="1" xfId="0" applyFont="1" applyFill="1" applyBorder="1"/>
    <xf numFmtId="0" fontId="21" fillId="3" borderId="3" xfId="0" applyFont="1" applyFill="1" applyBorder="1"/>
    <xf numFmtId="0" fontId="21" fillId="3" borderId="4" xfId="0" applyFont="1" applyFill="1" applyBorder="1"/>
    <xf numFmtId="0" fontId="21" fillId="3" borderId="0" xfId="0" applyFont="1" applyFill="1" applyBorder="1"/>
    <xf numFmtId="0" fontId="21" fillId="3" borderId="5" xfId="0" applyFont="1" applyFill="1" applyBorder="1"/>
    <xf numFmtId="0" fontId="21" fillId="3" borderId="6" xfId="0" applyFont="1" applyFill="1" applyBorder="1"/>
    <xf numFmtId="0" fontId="21" fillId="3" borderId="7" xfId="0" applyFont="1" applyFill="1" applyBorder="1"/>
    <xf numFmtId="0" fontId="21" fillId="3" borderId="8" xfId="0" applyFont="1" applyFill="1" applyBorder="1"/>
    <xf numFmtId="0" fontId="30" fillId="0" borderId="0" xfId="0" applyFont="1"/>
  </cellXfs>
  <cellStyles count="23"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Normal" xfId="0" builtinId="0"/>
    <cellStyle name="Normal 2" xfId="2" xr:uid="{00000000-0005-0000-0000-000014000000}"/>
    <cellStyle name="Normal 3" xfId="3" xr:uid="{00000000-0005-0000-0000-000015000000}"/>
    <cellStyle name="Normal 5" xfId="22" xr:uid="{DD218CE4-0369-704E-8A42-A2D3394B2C47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mzahaji/Desktop/Hamza%2020.08.2019/WARA/2019/CBI%20CI/production%20analytique/post%20revue%20boss/B12-CBI%20CI%20Spreads%20au%2031-12-2018%20-%20H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154"/>
  <sheetViews>
    <sheetView showGridLines="0" tabSelected="1" topLeftCell="B1" zoomScaleNormal="100" zoomScalePageLayoutView="80" workbookViewId="0">
      <selection activeCell="P14" sqref="P14"/>
    </sheetView>
  </sheetViews>
  <sheetFormatPr baseColWidth="10" defaultColWidth="11.42578125" defaultRowHeight="15.75" x14ac:dyDescent="0.25"/>
  <cols>
    <col min="1" max="1" width="11.42578125" style="52"/>
    <col min="2" max="2" width="63.5703125" style="52" customWidth="1"/>
    <col min="3" max="5" width="11.42578125" style="52" hidden="1" customWidth="1"/>
    <col min="6" max="7" width="11.7109375" style="52" hidden="1" customWidth="1"/>
    <col min="8" max="11" width="11" style="52" customWidth="1"/>
    <col min="12" max="12" width="11" style="56" customWidth="1"/>
    <col min="13" max="18" width="11.42578125" style="52" customWidth="1"/>
    <col min="19" max="16384" width="11.42578125" style="52"/>
  </cols>
  <sheetData>
    <row r="1" spans="2:13" ht="18.75" x14ac:dyDescent="0.3">
      <c r="B1" s="126" t="s">
        <v>162</v>
      </c>
    </row>
    <row r="3" spans="2:13" s="53" customFormat="1" x14ac:dyDescent="0.25">
      <c r="B3" s="59" t="s">
        <v>139</v>
      </c>
      <c r="C3" s="60">
        <v>2010</v>
      </c>
      <c r="D3" s="60">
        <v>2011</v>
      </c>
      <c r="E3" s="60">
        <v>2012</v>
      </c>
      <c r="F3" s="60">
        <v>2013</v>
      </c>
      <c r="G3" s="60">
        <v>2014</v>
      </c>
      <c r="H3" s="60">
        <v>2015</v>
      </c>
      <c r="I3" s="60">
        <v>2016</v>
      </c>
      <c r="J3" s="60">
        <v>2017</v>
      </c>
      <c r="K3" s="60">
        <v>2018</v>
      </c>
      <c r="L3" s="60">
        <v>2019</v>
      </c>
      <c r="M3" s="61">
        <v>2020</v>
      </c>
    </row>
    <row r="4" spans="2:13" x14ac:dyDescent="0.25">
      <c r="B4" s="55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2:13" x14ac:dyDescent="0.25">
      <c r="B5" s="51" t="s">
        <v>29</v>
      </c>
      <c r="C5" s="62"/>
      <c r="D5" s="62" t="e">
        <f>#REF!/1000</f>
        <v>#REF!</v>
      </c>
      <c r="E5" s="62" t="e">
        <f>#REF!/1000</f>
        <v>#REF!</v>
      </c>
      <c r="F5" s="62" t="e">
        <f>#REF!/1000</f>
        <v>#REF!</v>
      </c>
      <c r="G5" s="62" t="e">
        <f>#REF!/1000</f>
        <v>#REF!</v>
      </c>
      <c r="H5" s="62">
        <v>13090.797804</v>
      </c>
      <c r="I5" s="62">
        <v>10427.791373</v>
      </c>
      <c r="J5" s="62">
        <v>13080.843799</v>
      </c>
      <c r="K5" s="62">
        <v>13432.694063999999</v>
      </c>
      <c r="L5" s="62">
        <v>14982.667775</v>
      </c>
      <c r="M5" s="63">
        <v>18478.553845999999</v>
      </c>
    </row>
    <row r="6" spans="2:13" x14ac:dyDescent="0.25">
      <c r="B6" s="51" t="s">
        <v>9</v>
      </c>
      <c r="C6" s="64"/>
      <c r="D6" s="64" t="e">
        <f>(#REF!+#REF!)/1000</f>
        <v>#REF!</v>
      </c>
      <c r="E6" s="64" t="e">
        <f>(#REF!+#REF!)/1000</f>
        <v>#REF!</v>
      </c>
      <c r="F6" s="64" t="e">
        <f>(#REF!+#REF!)/1000</f>
        <v>#REF!</v>
      </c>
      <c r="G6" s="64" t="e">
        <f>(#REF!+#REF!)/1000</f>
        <v>#REF!</v>
      </c>
      <c r="H6" s="64">
        <v>1705.2605900000001</v>
      </c>
      <c r="I6" s="64">
        <v>833.04541299999994</v>
      </c>
      <c r="J6" s="64">
        <v>786.64536099999998</v>
      </c>
      <c r="K6" s="64">
        <v>739.21797199999992</v>
      </c>
      <c r="L6" s="64">
        <v>851.42433900000003</v>
      </c>
      <c r="M6" s="65">
        <v>750.96276699999999</v>
      </c>
    </row>
    <row r="7" spans="2:13" s="53" customFormat="1" x14ac:dyDescent="0.25">
      <c r="B7" s="66" t="s">
        <v>30</v>
      </c>
      <c r="C7" s="67">
        <f t="shared" ref="C7:I7" si="0">C6+C5</f>
        <v>0</v>
      </c>
      <c r="D7" s="67" t="e">
        <f t="shared" si="0"/>
        <v>#REF!</v>
      </c>
      <c r="E7" s="67" t="e">
        <f t="shared" si="0"/>
        <v>#REF!</v>
      </c>
      <c r="F7" s="67" t="e">
        <f t="shared" si="0"/>
        <v>#REF!</v>
      </c>
      <c r="G7" s="67" t="e">
        <f t="shared" si="0"/>
        <v>#REF!</v>
      </c>
      <c r="H7" s="67">
        <v>14796.058394</v>
      </c>
      <c r="I7" s="67">
        <v>11260.836786</v>
      </c>
      <c r="J7" s="68">
        <v>13867.489160000001</v>
      </c>
      <c r="K7" s="67">
        <v>14171.912036</v>
      </c>
      <c r="L7" s="67">
        <v>15834.092113999999</v>
      </c>
      <c r="M7" s="69">
        <v>19229.516613</v>
      </c>
    </row>
    <row r="8" spans="2:13" x14ac:dyDescent="0.25">
      <c r="B8" s="55"/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</row>
    <row r="9" spans="2:13" x14ac:dyDescent="0.25">
      <c r="B9" s="55" t="s">
        <v>28</v>
      </c>
      <c r="C9" s="62"/>
      <c r="D9" s="62" t="e">
        <f>#REF!/1000</f>
        <v>#REF!</v>
      </c>
      <c r="E9" s="62" t="e">
        <f>#REF!/1000</f>
        <v>#REF!</v>
      </c>
      <c r="F9" s="62" t="e">
        <f>#REF!/1000</f>
        <v>#REF!</v>
      </c>
      <c r="G9" s="62" t="e">
        <f>#REF!/1000</f>
        <v>#REF!</v>
      </c>
      <c r="H9" s="62">
        <v>-3108.817188</v>
      </c>
      <c r="I9" s="62">
        <v>-2302.427177</v>
      </c>
      <c r="J9" s="62">
        <v>-2843.9601949999997</v>
      </c>
      <c r="K9" s="62">
        <v>-3506.515496</v>
      </c>
      <c r="L9" s="62">
        <v>-6307.8649169999999</v>
      </c>
      <c r="M9" s="63">
        <v>-6946.89617</v>
      </c>
    </row>
    <row r="10" spans="2:13" x14ac:dyDescent="0.25">
      <c r="B10" s="55" t="s">
        <v>137</v>
      </c>
      <c r="C10" s="62"/>
      <c r="D10" s="62" t="e">
        <f>#REF!/1000</f>
        <v>#REF!</v>
      </c>
      <c r="E10" s="62" t="e">
        <f>#REF!/1000</f>
        <v>#REF!</v>
      </c>
      <c r="F10" s="62" t="e">
        <f>#REF!/1000</f>
        <v>#REF!</v>
      </c>
      <c r="G10" s="62" t="e">
        <f>#REF!/1000</f>
        <v>#REF!</v>
      </c>
      <c r="H10" s="62">
        <v>-4495.094349</v>
      </c>
      <c r="I10" s="62">
        <v>-4313.1208150000002</v>
      </c>
      <c r="J10" s="62">
        <v>-5771.3771939999997</v>
      </c>
      <c r="K10" s="62">
        <v>-7343.6555209999997</v>
      </c>
      <c r="L10" s="62">
        <v>-5642.0431520000002</v>
      </c>
      <c r="M10" s="63">
        <v>-6393.0153989999999</v>
      </c>
    </row>
    <row r="11" spans="2:13" x14ac:dyDescent="0.25">
      <c r="B11" s="55" t="s">
        <v>27</v>
      </c>
      <c r="C11" s="62"/>
      <c r="D11" s="62" t="e">
        <f>(#REF!+#REF!+#REF!)/1000</f>
        <v>#REF!</v>
      </c>
      <c r="E11" s="62" t="e">
        <f>(#REF!+#REF!+#REF!)/1000</f>
        <v>#REF!</v>
      </c>
      <c r="F11" s="62" t="e">
        <f>(#REF!+#REF!+#REF!)/1000</f>
        <v>#REF!</v>
      </c>
      <c r="G11" s="62" t="e">
        <f>(#REF!+#REF!+#REF!)/1000</f>
        <v>#REF!</v>
      </c>
      <c r="H11" s="62">
        <v>-957.10771699999998</v>
      </c>
      <c r="I11" s="62">
        <v>285.38969000000003</v>
      </c>
      <c r="J11" s="62">
        <v>-149.24926700000003</v>
      </c>
      <c r="K11" s="62">
        <v>1059.692325</v>
      </c>
      <c r="L11" s="62">
        <v>821.11412199999995</v>
      </c>
      <c r="M11" s="63">
        <v>24.420984000000001</v>
      </c>
    </row>
    <row r="12" spans="2:13" x14ac:dyDescent="0.25">
      <c r="B12" s="55" t="s">
        <v>21</v>
      </c>
      <c r="C12" s="62"/>
      <c r="D12" s="62" t="e">
        <f>#REF!/1000</f>
        <v>#REF!</v>
      </c>
      <c r="E12" s="62" t="e">
        <f>#REF!/1000</f>
        <v>#REF!</v>
      </c>
      <c r="F12" s="62" t="e">
        <f>#REF!/1000</f>
        <v>#REF!</v>
      </c>
      <c r="G12" s="62" t="e">
        <f>#REF!/1000</f>
        <v>#REF!</v>
      </c>
      <c r="H12" s="62">
        <v>-594.04777300000001</v>
      </c>
      <c r="I12" s="62">
        <v>-576.35945900000002</v>
      </c>
      <c r="J12" s="62">
        <v>-603.01296699999989</v>
      </c>
      <c r="K12" s="62">
        <v>-572.35356000000002</v>
      </c>
      <c r="L12" s="62">
        <v>-679.40802799999994</v>
      </c>
      <c r="M12" s="63">
        <v>-699.99233600000002</v>
      </c>
    </row>
    <row r="13" spans="2:13" x14ac:dyDescent="0.25">
      <c r="B13" s="55" t="s">
        <v>22</v>
      </c>
      <c r="C13" s="62"/>
      <c r="D13" s="62" t="e">
        <f>#REF!/1000</f>
        <v>#REF!</v>
      </c>
      <c r="E13" s="62" t="e">
        <f>#REF!/1000</f>
        <v>#REF!</v>
      </c>
      <c r="F13" s="62" t="e">
        <f>#REF!/1000</f>
        <v>#REF!</v>
      </c>
      <c r="G13" s="62" t="e">
        <f>#REF!/1000</f>
        <v>#REF!</v>
      </c>
      <c r="H13" s="62">
        <v>-382.98164899999995</v>
      </c>
      <c r="I13" s="62">
        <v>-340.43438900000001</v>
      </c>
      <c r="J13" s="62">
        <v>-329.92241200000001</v>
      </c>
      <c r="K13" s="62">
        <v>-133.77562499999999</v>
      </c>
      <c r="L13" s="62">
        <v>-145.903806</v>
      </c>
      <c r="M13" s="63">
        <v>-73.154471000000001</v>
      </c>
    </row>
    <row r="14" spans="2:13" x14ac:dyDescent="0.25">
      <c r="B14" s="55" t="s">
        <v>7</v>
      </c>
      <c r="C14" s="62"/>
      <c r="D14" s="62" t="e">
        <f>#REF!/1000</f>
        <v>#REF!</v>
      </c>
      <c r="E14" s="62" t="e">
        <f>#REF!/1000</f>
        <v>#REF!</v>
      </c>
      <c r="F14" s="62" t="e">
        <f>#REF!/1000</f>
        <v>#REF!</v>
      </c>
      <c r="G14" s="62" t="e">
        <f>#REF!/1000</f>
        <v>#REF!</v>
      </c>
      <c r="H14" s="62">
        <v>-1308.6130439999999</v>
      </c>
      <c r="I14" s="62">
        <v>-1227.4417960000001</v>
      </c>
      <c r="J14" s="62">
        <v>-1219.072439</v>
      </c>
      <c r="K14" s="62">
        <v>-1075.744152</v>
      </c>
      <c r="L14" s="62">
        <v>-1120.8983000000001</v>
      </c>
      <c r="M14" s="63">
        <v>-1220.1849749999999</v>
      </c>
    </row>
    <row r="15" spans="2:13" x14ac:dyDescent="0.25">
      <c r="B15" s="55" t="s">
        <v>15</v>
      </c>
      <c r="C15" s="62"/>
      <c r="D15" s="62" t="e">
        <f>#REF!/1000</f>
        <v>#REF!</v>
      </c>
      <c r="E15" s="62" t="e">
        <f>#REF!/1000</f>
        <v>#REF!</v>
      </c>
      <c r="F15" s="62" t="e">
        <f>#REF!/1000</f>
        <v>#REF!</v>
      </c>
      <c r="G15" s="62" t="e">
        <f>#REF!/1000</f>
        <v>#REF!</v>
      </c>
      <c r="H15" s="62">
        <v>-282.63676400000003</v>
      </c>
      <c r="I15" s="62">
        <v>-84.332915999999997</v>
      </c>
      <c r="J15" s="62">
        <v>-67.954077999999996</v>
      </c>
      <c r="K15" s="62">
        <v>-83.500384000000011</v>
      </c>
      <c r="L15" s="62">
        <v>-125.032613</v>
      </c>
      <c r="M15" s="63">
        <v>-87.971981</v>
      </c>
    </row>
    <row r="16" spans="2:13" x14ac:dyDescent="0.25">
      <c r="B16" s="55" t="s">
        <v>23</v>
      </c>
      <c r="C16" s="62"/>
      <c r="D16" s="62" t="e">
        <f>#REF!/1000</f>
        <v>#REF!</v>
      </c>
      <c r="E16" s="62" t="e">
        <f>#REF!/1000</f>
        <v>#REF!</v>
      </c>
      <c r="F16" s="62" t="e">
        <f>#REF!/1000</f>
        <v>#REF!</v>
      </c>
      <c r="G16" s="62" t="e">
        <f>#REF!/1000</f>
        <v>#REF!</v>
      </c>
      <c r="H16" s="62">
        <v>-663.12304900000004</v>
      </c>
      <c r="I16" s="62">
        <v>-810.54970800000001</v>
      </c>
      <c r="J16" s="62">
        <v>-519.15746200000001</v>
      </c>
      <c r="K16" s="62">
        <v>-622.23879799999997</v>
      </c>
      <c r="L16" s="62">
        <v>-515.51839399999994</v>
      </c>
      <c r="M16" s="63">
        <v>-503.76999699999999</v>
      </c>
    </row>
    <row r="17" spans="2:13" x14ac:dyDescent="0.25">
      <c r="B17" s="57" t="s">
        <v>8</v>
      </c>
      <c r="C17" s="64"/>
      <c r="D17" s="62" t="e">
        <f>#REF!/1000</f>
        <v>#REF!</v>
      </c>
      <c r="E17" s="62" t="e">
        <f>#REF!/1000</f>
        <v>#REF!</v>
      </c>
      <c r="F17" s="62" t="e">
        <f>#REF!/1000</f>
        <v>#REF!</v>
      </c>
      <c r="G17" s="62" t="e">
        <f>#REF!/1000</f>
        <v>#REF!</v>
      </c>
      <c r="H17" s="62">
        <v>-962.31199199999992</v>
      </c>
      <c r="I17" s="62">
        <v>-757.12414200000001</v>
      </c>
      <c r="J17" s="62">
        <v>-907.94229200000007</v>
      </c>
      <c r="K17" s="62">
        <v>-977.87587699999995</v>
      </c>
      <c r="L17" s="62">
        <v>-1061.0049409999999</v>
      </c>
      <c r="M17" s="63">
        <v>-1134.648588</v>
      </c>
    </row>
    <row r="18" spans="2:13" s="53" customFormat="1" x14ac:dyDescent="0.25">
      <c r="B18" s="70" t="s">
        <v>31</v>
      </c>
      <c r="C18" s="68"/>
      <c r="D18" s="68" t="e">
        <f t="shared" ref="D18:I18" si="1">SUM(D7:D17)</f>
        <v>#REF!</v>
      </c>
      <c r="E18" s="68" t="e">
        <f t="shared" si="1"/>
        <v>#REF!</v>
      </c>
      <c r="F18" s="68" t="e">
        <f t="shared" si="1"/>
        <v>#REF!</v>
      </c>
      <c r="G18" s="68" t="e">
        <f t="shared" si="1"/>
        <v>#REF!</v>
      </c>
      <c r="H18" s="68">
        <v>2041.3248689999991</v>
      </c>
      <c r="I18" s="68">
        <v>1134.4360739999997</v>
      </c>
      <c r="J18" s="68">
        <v>1455.8408540000014</v>
      </c>
      <c r="K18" s="68">
        <v>915.94494800000029</v>
      </c>
      <c r="L18" s="68">
        <v>1057.5320850000001</v>
      </c>
      <c r="M18" s="71">
        <v>2194.30368</v>
      </c>
    </row>
    <row r="19" spans="2:13" s="75" customFormat="1" x14ac:dyDescent="0.25">
      <c r="B19" s="72" t="s">
        <v>32</v>
      </c>
      <c r="C19" s="73"/>
      <c r="D19" s="73" t="e">
        <f t="shared" ref="D19:I19" si="2">D18/D5</f>
        <v>#REF!</v>
      </c>
      <c r="E19" s="73" t="e">
        <f t="shared" si="2"/>
        <v>#REF!</v>
      </c>
      <c r="F19" s="73" t="e">
        <f t="shared" si="2"/>
        <v>#REF!</v>
      </c>
      <c r="G19" s="73" t="e">
        <f t="shared" si="2"/>
        <v>#REF!</v>
      </c>
      <c r="H19" s="73">
        <v>0.15593586422794306</v>
      </c>
      <c r="I19" s="73">
        <v>0.10878967879404655</v>
      </c>
      <c r="J19" s="73">
        <v>0.11129563783272887</v>
      </c>
      <c r="K19" s="73">
        <v>6.8187732381604568E-2</v>
      </c>
      <c r="L19" s="73">
        <v>7.0583697168043233E-2</v>
      </c>
      <c r="M19" s="74">
        <v>0.11874866931077481</v>
      </c>
    </row>
    <row r="20" spans="2:13" x14ac:dyDescent="0.25">
      <c r="B20" s="55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</row>
    <row r="21" spans="2:13" x14ac:dyDescent="0.25">
      <c r="B21" s="55" t="s">
        <v>33</v>
      </c>
      <c r="C21" s="62"/>
      <c r="D21" s="62" t="e">
        <f>#REF!/1000</f>
        <v>#REF!</v>
      </c>
      <c r="E21" s="62" t="e">
        <f>#REF!/1000</f>
        <v>#REF!</v>
      </c>
      <c r="F21" s="62" t="e">
        <f>#REF!/1000</f>
        <v>#REF!</v>
      </c>
      <c r="G21" s="62" t="e">
        <f>#REF!/1000</f>
        <v>#REF!</v>
      </c>
      <c r="H21" s="62">
        <v>-1400.888784</v>
      </c>
      <c r="I21" s="62">
        <v>-454.42147299999999</v>
      </c>
      <c r="J21" s="62">
        <v>-1013.053974</v>
      </c>
      <c r="K21" s="62">
        <v>-308.39555999999999</v>
      </c>
      <c r="L21" s="62">
        <v>-522.81903899999998</v>
      </c>
      <c r="M21" s="63">
        <v>-712.04432099999997</v>
      </c>
    </row>
    <row r="22" spans="2:13" x14ac:dyDescent="0.25">
      <c r="B22" s="55" t="s">
        <v>16</v>
      </c>
      <c r="C22" s="62"/>
      <c r="D22" s="62" t="e">
        <f>#REF!/1000</f>
        <v>#REF!</v>
      </c>
      <c r="E22" s="62" t="e">
        <f>#REF!/1000</f>
        <v>#REF!</v>
      </c>
      <c r="F22" s="62" t="e">
        <f>#REF!/1000</f>
        <v>#REF!</v>
      </c>
      <c r="G22" s="62" t="e">
        <f>#REF!/1000</f>
        <v>#REF!</v>
      </c>
      <c r="H22" s="62">
        <v>681.70905600000003</v>
      </c>
      <c r="I22" s="62">
        <v>204.61288200000001</v>
      </c>
      <c r="J22" s="62">
        <v>910.44336999999996</v>
      </c>
      <c r="K22" s="62">
        <v>0</v>
      </c>
      <c r="L22" s="62">
        <v>349.64881000000003</v>
      </c>
      <c r="M22" s="63">
        <v>179.86612500000001</v>
      </c>
    </row>
    <row r="23" spans="2:13" x14ac:dyDescent="0.25">
      <c r="B23" s="55" t="s">
        <v>10</v>
      </c>
      <c r="C23" s="62"/>
      <c r="D23" s="62" t="e">
        <f>#REF!</f>
        <v>#REF!</v>
      </c>
      <c r="E23" s="62" t="e">
        <f>#REF!</f>
        <v>#REF!</v>
      </c>
      <c r="F23" s="62" t="e">
        <f>#REF!</f>
        <v>#REF!</v>
      </c>
      <c r="G23" s="62" t="e">
        <f>#REF!</f>
        <v>#REF!</v>
      </c>
      <c r="H23" s="62">
        <v>0</v>
      </c>
      <c r="I23" s="62">
        <v>0</v>
      </c>
      <c r="J23" s="64">
        <v>0</v>
      </c>
      <c r="K23" s="62">
        <v>0</v>
      </c>
      <c r="L23" s="62">
        <v>0</v>
      </c>
      <c r="M23" s="63">
        <v>0</v>
      </c>
    </row>
    <row r="24" spans="2:13" s="53" customFormat="1" x14ac:dyDescent="0.25">
      <c r="B24" s="70" t="s">
        <v>11</v>
      </c>
      <c r="C24" s="68"/>
      <c r="D24" s="68" t="e">
        <f t="shared" ref="D24:I24" si="3">D23+D22+D21+D18</f>
        <v>#REF!</v>
      </c>
      <c r="E24" s="68" t="e">
        <f t="shared" si="3"/>
        <v>#REF!</v>
      </c>
      <c r="F24" s="68" t="e">
        <f t="shared" si="3"/>
        <v>#REF!</v>
      </c>
      <c r="G24" s="68" t="e">
        <f t="shared" si="3"/>
        <v>#REF!</v>
      </c>
      <c r="H24" s="68">
        <v>1322.1451409999991</v>
      </c>
      <c r="I24" s="68">
        <v>884.62748299999976</v>
      </c>
      <c r="J24" s="68">
        <v>1353.2302500000014</v>
      </c>
      <c r="K24" s="68">
        <v>607.54938800000036</v>
      </c>
      <c r="L24" s="68">
        <v>884.3618560000001</v>
      </c>
      <c r="M24" s="71">
        <v>1662.1254840000001</v>
      </c>
    </row>
    <row r="25" spans="2:13" s="75" customFormat="1" x14ac:dyDescent="0.25">
      <c r="B25" s="72" t="s">
        <v>32</v>
      </c>
      <c r="C25" s="73"/>
      <c r="D25" s="73" t="e">
        <f t="shared" ref="D25:I25" si="4">D24/D5</f>
        <v>#REF!</v>
      </c>
      <c r="E25" s="73" t="e">
        <f t="shared" si="4"/>
        <v>#REF!</v>
      </c>
      <c r="F25" s="73" t="e">
        <f t="shared" si="4"/>
        <v>#REF!</v>
      </c>
      <c r="G25" s="73" t="e">
        <f t="shared" si="4"/>
        <v>#REF!</v>
      </c>
      <c r="H25" s="73">
        <v>0.10099805686373117</v>
      </c>
      <c r="I25" s="73">
        <v>8.4833638433782638E-2</v>
      </c>
      <c r="J25" s="73">
        <v>0.10345129647549592</v>
      </c>
      <c r="K25" s="73">
        <v>4.5229153966087114E-2</v>
      </c>
      <c r="L25" s="73">
        <v>5.9025660134815354E-2</v>
      </c>
      <c r="M25" s="74">
        <v>8.9948894153304954E-2</v>
      </c>
    </row>
    <row r="26" spans="2:13" x14ac:dyDescent="0.25">
      <c r="B26" s="55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3"/>
    </row>
    <row r="27" spans="2:13" x14ac:dyDescent="0.25">
      <c r="B27" s="55" t="s">
        <v>17</v>
      </c>
      <c r="C27" s="62"/>
      <c r="D27" s="62" t="e">
        <f>#REF!/1000</f>
        <v>#REF!</v>
      </c>
      <c r="E27" s="62" t="e">
        <f>#REF!/1000</f>
        <v>#REF!</v>
      </c>
      <c r="F27" s="62" t="e">
        <f>#REF!/1000</f>
        <v>#REF!</v>
      </c>
      <c r="G27" s="62" t="e">
        <f>#REF!/1000</f>
        <v>#REF!</v>
      </c>
      <c r="H27" s="62">
        <v>-14.487053</v>
      </c>
      <c r="I27" s="62">
        <v>2.9114679999999997</v>
      </c>
      <c r="J27" s="62">
        <v>4.4509129999999999</v>
      </c>
      <c r="K27" s="62">
        <v>1.3448640000000001</v>
      </c>
      <c r="L27" s="62">
        <v>0.66808599999999996</v>
      </c>
      <c r="M27" s="63">
        <v>41.779992999999997</v>
      </c>
    </row>
    <row r="28" spans="2:13" x14ac:dyDescent="0.25">
      <c r="B28" s="55" t="s">
        <v>34</v>
      </c>
      <c r="C28" s="62"/>
      <c r="D28" s="62" t="e">
        <f>#REF!/1000</f>
        <v>#REF!</v>
      </c>
      <c r="E28" s="62" t="e">
        <f>#REF!/1000</f>
        <v>#REF!</v>
      </c>
      <c r="F28" s="62" t="e">
        <f>#REF!/1000</f>
        <v>#REF!</v>
      </c>
      <c r="G28" s="62" t="e">
        <f>#REF!/1000</f>
        <v>#REF!</v>
      </c>
      <c r="H28" s="62">
        <v>-224.21106800000001</v>
      </c>
      <c r="I28" s="62">
        <v>0.3</v>
      </c>
      <c r="J28" s="62">
        <v>-79.316665999999998</v>
      </c>
      <c r="K28" s="62">
        <v>314.45242300000001</v>
      </c>
      <c r="L28" s="62">
        <v>6.7796609999999999</v>
      </c>
      <c r="M28" s="63">
        <v>-5.9371749999999999</v>
      </c>
    </row>
    <row r="29" spans="2:13" x14ac:dyDescent="0.25">
      <c r="B29" s="55" t="s">
        <v>35</v>
      </c>
      <c r="C29" s="62"/>
      <c r="D29" s="62" t="e">
        <f>#REF!/1000</f>
        <v>#REF!</v>
      </c>
      <c r="E29" s="62" t="e">
        <f>#REF!/1000</f>
        <v>#REF!</v>
      </c>
      <c r="F29" s="62" t="e">
        <f>#REF!/1000</f>
        <v>#REF!</v>
      </c>
      <c r="G29" s="62" t="e">
        <f>#REF!/1000</f>
        <v>#REF!</v>
      </c>
      <c r="H29" s="62">
        <v>-382.27949999999998</v>
      </c>
      <c r="I29" s="62">
        <v>-290.226</v>
      </c>
      <c r="J29" s="62">
        <v>-298.1585</v>
      </c>
      <c r="K29" s="62">
        <v>-160.62679399999999</v>
      </c>
      <c r="L29" s="62">
        <v>-253.857764</v>
      </c>
      <c r="M29" s="63">
        <v>-531.31025</v>
      </c>
    </row>
    <row r="30" spans="2:13" s="53" customFormat="1" x14ac:dyDescent="0.25">
      <c r="B30" s="70" t="s">
        <v>20</v>
      </c>
      <c r="C30" s="68"/>
      <c r="D30" s="68" t="e">
        <f t="shared" ref="D30:I30" si="5">D29+D28+D27+D24</f>
        <v>#REF!</v>
      </c>
      <c r="E30" s="68" t="e">
        <f t="shared" si="5"/>
        <v>#REF!</v>
      </c>
      <c r="F30" s="68" t="e">
        <f t="shared" si="5"/>
        <v>#REF!</v>
      </c>
      <c r="G30" s="68" t="e">
        <f t="shared" si="5"/>
        <v>#REF!</v>
      </c>
      <c r="H30" s="68">
        <v>701.16751999999917</v>
      </c>
      <c r="I30" s="68">
        <v>597.61295099999984</v>
      </c>
      <c r="J30" s="68">
        <v>980.20599700000139</v>
      </c>
      <c r="K30" s="68">
        <v>762.71988100000044</v>
      </c>
      <c r="L30" s="68">
        <v>637.95183900000006</v>
      </c>
      <c r="M30" s="71">
        <v>1166.6580520000002</v>
      </c>
    </row>
    <row r="31" spans="2:13" s="75" customFormat="1" x14ac:dyDescent="0.25">
      <c r="B31" s="76" t="s">
        <v>32</v>
      </c>
      <c r="C31" s="77"/>
      <c r="D31" s="77" t="e">
        <f t="shared" ref="D31:I31" si="6">D30/D5</f>
        <v>#REF!</v>
      </c>
      <c r="E31" s="77" t="e">
        <f t="shared" si="6"/>
        <v>#REF!</v>
      </c>
      <c r="F31" s="77" t="e">
        <f t="shared" si="6"/>
        <v>#REF!</v>
      </c>
      <c r="G31" s="77" t="e">
        <f t="shared" si="6"/>
        <v>#REF!</v>
      </c>
      <c r="H31" s="77">
        <v>5.3561863111639518E-2</v>
      </c>
      <c r="I31" s="77">
        <v>5.7309638218056423E-2</v>
      </c>
      <c r="J31" s="77">
        <v>7.4934462337585273E-2</v>
      </c>
      <c r="K31" s="77">
        <v>5.6780857016918991E-2</v>
      </c>
      <c r="L31" s="77">
        <v>4.2579322226211483E-2</v>
      </c>
      <c r="M31" s="78">
        <v>6.3135787666227114E-2</v>
      </c>
    </row>
    <row r="32" spans="2:13" x14ac:dyDescent="0.25">
      <c r="C32" s="58"/>
      <c r="D32" s="58"/>
      <c r="E32" s="58"/>
      <c r="F32" s="58"/>
      <c r="G32" s="62"/>
      <c r="H32" s="58"/>
      <c r="I32" s="58"/>
      <c r="J32" s="62"/>
      <c r="K32" s="62"/>
      <c r="L32" s="62"/>
      <c r="M32" s="62"/>
    </row>
    <row r="33" spans="2:22" x14ac:dyDescent="0.25">
      <c r="C33" s="58"/>
      <c r="D33" s="58"/>
      <c r="E33" s="58"/>
      <c r="F33" s="58"/>
      <c r="G33" s="62"/>
      <c r="H33" s="58"/>
      <c r="I33" s="58"/>
      <c r="J33" s="62"/>
      <c r="K33" s="62"/>
      <c r="L33" s="62"/>
      <c r="M33" s="62"/>
    </row>
    <row r="34" spans="2:22" s="53" customFormat="1" x14ac:dyDescent="0.25">
      <c r="B34" s="59" t="s">
        <v>140</v>
      </c>
      <c r="C34" s="60">
        <v>2010</v>
      </c>
      <c r="D34" s="60">
        <v>2011</v>
      </c>
      <c r="E34" s="60">
        <v>2012</v>
      </c>
      <c r="F34" s="60">
        <v>2013</v>
      </c>
      <c r="G34" s="60">
        <v>2014</v>
      </c>
      <c r="H34" s="60">
        <v>2015</v>
      </c>
      <c r="I34" s="60">
        <v>2016</v>
      </c>
      <c r="J34" s="60">
        <v>2017</v>
      </c>
      <c r="K34" s="60">
        <v>2018</v>
      </c>
      <c r="L34" s="60">
        <v>2019</v>
      </c>
      <c r="M34" s="61">
        <v>2020</v>
      </c>
    </row>
    <row r="35" spans="2:22" x14ac:dyDescent="0.25">
      <c r="B35" s="55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/>
    </row>
    <row r="36" spans="2:22" x14ac:dyDescent="0.25">
      <c r="B36" s="55" t="s">
        <v>66</v>
      </c>
      <c r="C36" s="62"/>
      <c r="D36" s="62" t="e">
        <f>#REF!/1000</f>
        <v>#REF!</v>
      </c>
      <c r="E36" s="62" t="e">
        <f>#REF!/1000</f>
        <v>#REF!</v>
      </c>
      <c r="F36" s="62" t="e">
        <f>#REF!/1000</f>
        <v>#REF!</v>
      </c>
      <c r="G36" s="62" t="e">
        <f>#REF!/1000</f>
        <v>#REF!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3">
        <v>0</v>
      </c>
    </row>
    <row r="37" spans="2:22" x14ac:dyDescent="0.25">
      <c r="B37" s="51" t="s">
        <v>0</v>
      </c>
      <c r="C37" s="62"/>
      <c r="D37" s="62" t="e">
        <f>#REF!/1000</f>
        <v>#REF!</v>
      </c>
      <c r="E37" s="62" t="e">
        <f>#REF!/1000</f>
        <v>#REF!</v>
      </c>
      <c r="F37" s="62" t="e">
        <f>#REF!/1000</f>
        <v>#REF!</v>
      </c>
      <c r="G37" s="62" t="e">
        <f>#REF!/1000</f>
        <v>#REF!</v>
      </c>
      <c r="H37" s="62">
        <v>1.1499999999999999</v>
      </c>
      <c r="I37" s="62">
        <v>2.28064</v>
      </c>
      <c r="J37" s="62">
        <v>25.439507000000003</v>
      </c>
      <c r="K37" s="62">
        <v>15.846112999999999</v>
      </c>
      <c r="L37" s="62">
        <v>7.175357</v>
      </c>
      <c r="M37" s="63">
        <v>3.7157529999999999</v>
      </c>
    </row>
    <row r="38" spans="2:22" x14ac:dyDescent="0.25">
      <c r="B38" s="51" t="s">
        <v>1</v>
      </c>
      <c r="C38" s="62"/>
      <c r="D38" s="62" t="e">
        <f>#REF!/1000</f>
        <v>#REF!</v>
      </c>
      <c r="E38" s="62" t="e">
        <f>#REF!/1000</f>
        <v>#REF!</v>
      </c>
      <c r="F38" s="62" t="e">
        <f>#REF!/1000</f>
        <v>#REF!</v>
      </c>
      <c r="G38" s="62" t="e">
        <f>#REF!/1000</f>
        <v>#REF!</v>
      </c>
      <c r="H38" s="62">
        <v>527.11962500000004</v>
      </c>
      <c r="I38" s="62">
        <v>730.98147499999993</v>
      </c>
      <c r="J38" s="62">
        <v>681.82643500000006</v>
      </c>
      <c r="K38" s="62">
        <v>700.01970100000017</v>
      </c>
      <c r="L38" s="62">
        <v>666.82817899999998</v>
      </c>
      <c r="M38" s="63">
        <v>564.95488</v>
      </c>
    </row>
    <row r="39" spans="2:22" x14ac:dyDescent="0.25">
      <c r="B39" s="51" t="s">
        <v>2</v>
      </c>
      <c r="C39" s="62"/>
      <c r="D39" s="62" t="e">
        <f>#REF!/1000</f>
        <v>#REF!</v>
      </c>
      <c r="E39" s="62" t="e">
        <f>#REF!/1000</f>
        <v>#REF!</v>
      </c>
      <c r="F39" s="62" t="e">
        <f>#REF!/1000</f>
        <v>#REF!</v>
      </c>
      <c r="G39" s="62" t="e">
        <f>#REF!/1000</f>
        <v>#REF!</v>
      </c>
      <c r="H39" s="62">
        <v>41.903862999999994</v>
      </c>
      <c r="I39" s="62">
        <v>39.323862999999996</v>
      </c>
      <c r="J39" s="62">
        <v>39.471002999999996</v>
      </c>
      <c r="K39" s="62">
        <v>39.471002999999996</v>
      </c>
      <c r="L39" s="62">
        <v>41.271003</v>
      </c>
      <c r="M39" s="63">
        <v>41.271003</v>
      </c>
    </row>
    <row r="40" spans="2:22" x14ac:dyDescent="0.25">
      <c r="B40" s="51" t="s">
        <v>3</v>
      </c>
      <c r="C40" s="62"/>
      <c r="D40" s="62" t="e">
        <f>#REF!/1000</f>
        <v>#REF!</v>
      </c>
      <c r="E40" s="62" t="e">
        <f>#REF!/1000</f>
        <v>#REF!</v>
      </c>
      <c r="F40" s="62" t="e">
        <f>#REF!/1000</f>
        <v>#REF!</v>
      </c>
      <c r="G40" s="62" t="e">
        <f>#REF!/1000</f>
        <v>#REF!</v>
      </c>
      <c r="H40" s="62">
        <v>2449.7956320000003</v>
      </c>
      <c r="I40" s="62">
        <v>2533.1146959999996</v>
      </c>
      <c r="J40" s="62">
        <v>3005.5757439999998</v>
      </c>
      <c r="K40" s="62">
        <v>4053.9530099999997</v>
      </c>
      <c r="L40" s="62">
        <v>4813.1821140000002</v>
      </c>
      <c r="M40" s="63">
        <v>4378.5567590000001</v>
      </c>
    </row>
    <row r="41" spans="2:22" x14ac:dyDescent="0.25">
      <c r="B41" s="55" t="s">
        <v>4</v>
      </c>
      <c r="C41" s="62"/>
      <c r="D41" s="62" t="e">
        <f>#REF!/1000</f>
        <v>#REF!</v>
      </c>
      <c r="E41" s="62" t="e">
        <f>#REF!/1000</f>
        <v>#REF!</v>
      </c>
      <c r="F41" s="62" t="e">
        <f>#REF!/1000</f>
        <v>#REF!</v>
      </c>
      <c r="G41" s="62" t="e">
        <f>#REF!/1000</f>
        <v>#REF!</v>
      </c>
      <c r="H41" s="62">
        <v>2193.24233</v>
      </c>
      <c r="I41" s="62">
        <v>3271.3911980000003</v>
      </c>
      <c r="J41" s="62">
        <v>3821.9913599999995</v>
      </c>
      <c r="K41" s="62">
        <v>4353.5746119999994</v>
      </c>
      <c r="L41" s="62">
        <v>3981.3235979999999</v>
      </c>
      <c r="M41" s="63">
        <v>3553.7138620000001</v>
      </c>
      <c r="V41" s="58"/>
    </row>
    <row r="42" spans="2:22" x14ac:dyDescent="0.25">
      <c r="B42" s="55" t="s">
        <v>36</v>
      </c>
      <c r="C42" s="62"/>
      <c r="D42" s="62" t="e">
        <f>#REF!/1000</f>
        <v>#REF!</v>
      </c>
      <c r="E42" s="62" t="e">
        <f>#REF!/1000</f>
        <v>#REF!</v>
      </c>
      <c r="F42" s="62" t="e">
        <f>#REF!/1000</f>
        <v>#REF!</v>
      </c>
      <c r="G42" s="62" t="e">
        <f>#REF!/1000</f>
        <v>#REF!</v>
      </c>
      <c r="H42" s="62">
        <v>3941.9363440000002</v>
      </c>
      <c r="I42" s="62">
        <v>3682.4067700000001</v>
      </c>
      <c r="J42" s="62">
        <v>4000.7996320000002</v>
      </c>
      <c r="K42" s="62">
        <v>3992.2505534000002</v>
      </c>
      <c r="L42" s="62">
        <v>4484.2478730000003</v>
      </c>
      <c r="M42" s="63">
        <v>4843.6820209999996</v>
      </c>
    </row>
    <row r="43" spans="2:22" x14ac:dyDescent="0.25">
      <c r="B43" s="57" t="s">
        <v>67</v>
      </c>
      <c r="C43" s="62"/>
      <c r="D43" s="62" t="e">
        <f>#REF!/1000</f>
        <v>#REF!</v>
      </c>
      <c r="E43" s="62" t="e">
        <f>#REF!/1000</f>
        <v>#REF!</v>
      </c>
      <c r="F43" s="62" t="e">
        <f>#REF!/1000</f>
        <v>#REF!</v>
      </c>
      <c r="G43" s="62" t="e">
        <f>#REF!/1000</f>
        <v>#REF!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3">
        <v>0</v>
      </c>
      <c r="N43" s="79"/>
      <c r="O43" s="79"/>
      <c r="P43" s="79"/>
      <c r="Q43" s="79"/>
      <c r="R43" s="79"/>
    </row>
    <row r="44" spans="2:22" s="53" customFormat="1" x14ac:dyDescent="0.25">
      <c r="B44" s="80" t="s">
        <v>12</v>
      </c>
      <c r="C44" s="81"/>
      <c r="D44" s="81" t="e">
        <f t="shared" ref="D44:I44" si="7">SUM(D36:D43)</f>
        <v>#REF!</v>
      </c>
      <c r="E44" s="81" t="e">
        <f t="shared" si="7"/>
        <v>#REF!</v>
      </c>
      <c r="F44" s="81" t="e">
        <f t="shared" si="7"/>
        <v>#REF!</v>
      </c>
      <c r="G44" s="81" t="e">
        <f t="shared" si="7"/>
        <v>#REF!</v>
      </c>
      <c r="H44" s="81">
        <v>9155.1477940000004</v>
      </c>
      <c r="I44" s="81">
        <v>10259.498642</v>
      </c>
      <c r="J44" s="81">
        <v>11575.103681000001</v>
      </c>
      <c r="K44" s="81">
        <v>13155.114992399998</v>
      </c>
      <c r="L44" s="81">
        <v>13994.028124</v>
      </c>
      <c r="M44" s="82">
        <v>13385.894278</v>
      </c>
    </row>
    <row r="45" spans="2:22" x14ac:dyDescent="0.25">
      <c r="B45" s="51"/>
      <c r="C45" s="62"/>
      <c r="D45" s="62"/>
      <c r="E45" s="62"/>
      <c r="F45" s="62"/>
      <c r="G45" s="62"/>
      <c r="H45" s="62"/>
      <c r="I45" s="62"/>
      <c r="J45" s="83"/>
      <c r="K45" s="83"/>
      <c r="L45" s="83"/>
      <c r="M45" s="84"/>
    </row>
    <row r="46" spans="2:22" x14ac:dyDescent="0.25">
      <c r="B46" s="51" t="s">
        <v>37</v>
      </c>
      <c r="C46" s="62"/>
      <c r="D46" s="62" t="e">
        <f>#REF!/1000</f>
        <v>#REF!</v>
      </c>
      <c r="E46" s="62" t="e">
        <f>#REF!/1000</f>
        <v>#REF!</v>
      </c>
      <c r="F46" s="62" t="e">
        <f>#REF!/1000</f>
        <v>#REF!</v>
      </c>
      <c r="G46" s="62" t="e">
        <f>#REF!/1000</f>
        <v>#REF!</v>
      </c>
      <c r="H46" s="62">
        <v>4996.3982660000011</v>
      </c>
      <c r="I46" s="62">
        <v>5398.0338200000006</v>
      </c>
      <c r="J46" s="62">
        <v>6128.6675940000005</v>
      </c>
      <c r="K46" s="62">
        <v>5919.1638519999997</v>
      </c>
      <c r="L46" s="62">
        <v>6063.7823580000004</v>
      </c>
      <c r="M46" s="63">
        <v>6737.1070769999997</v>
      </c>
    </row>
    <row r="47" spans="2:22" x14ac:dyDescent="0.25">
      <c r="B47" s="51" t="s">
        <v>64</v>
      </c>
      <c r="C47" s="62"/>
      <c r="D47" s="62" t="e">
        <f>#REF!/1000</f>
        <v>#REF!</v>
      </c>
      <c r="E47" s="62" t="e">
        <f>#REF!/1000</f>
        <v>#REF!</v>
      </c>
      <c r="F47" s="62" t="e">
        <f>#REF!/1000</f>
        <v>#REF!</v>
      </c>
      <c r="G47" s="62" t="e">
        <f>#REF!/1000</f>
        <v>#REF!</v>
      </c>
      <c r="H47" s="62">
        <v>1733.5386120000001</v>
      </c>
      <c r="I47" s="62">
        <v>1885.1657660000001</v>
      </c>
      <c r="J47" s="62">
        <v>1871.020338</v>
      </c>
      <c r="K47" s="62">
        <v>2064.443565</v>
      </c>
      <c r="L47" s="62">
        <v>2085.7743099999998</v>
      </c>
      <c r="M47" s="63">
        <v>2472.5326949999999</v>
      </c>
    </row>
    <row r="48" spans="2:22" x14ac:dyDescent="0.25">
      <c r="B48" s="85" t="s">
        <v>18</v>
      </c>
      <c r="C48" s="86"/>
      <c r="D48" s="86" t="e">
        <f>#REF!/1000</f>
        <v>#REF!</v>
      </c>
      <c r="E48" s="86" t="e">
        <f>#REF!/1000</f>
        <v>#REF!</v>
      </c>
      <c r="F48" s="86" t="e">
        <f>#REF!/1000</f>
        <v>#REF!</v>
      </c>
      <c r="G48" s="86" t="e">
        <f>#REF!/1000</f>
        <v>#REF!</v>
      </c>
      <c r="H48" s="86">
        <v>20.294250999999999</v>
      </c>
      <c r="I48" s="86">
        <v>5.1528119999999999</v>
      </c>
      <c r="J48" s="86">
        <v>2.5002209999999998</v>
      </c>
      <c r="K48" s="86">
        <v>25.039137999999998</v>
      </c>
      <c r="L48" s="86">
        <v>0</v>
      </c>
      <c r="M48" s="87">
        <v>4.7768300000000004</v>
      </c>
    </row>
    <row r="49" spans="2:18" x14ac:dyDescent="0.25">
      <c r="B49" s="55" t="s">
        <v>24</v>
      </c>
      <c r="C49" s="62"/>
      <c r="D49" s="62" t="e">
        <f>#REF!/1000</f>
        <v>#REF!</v>
      </c>
      <c r="E49" s="62" t="e">
        <f>#REF!/1000</f>
        <v>#REF!</v>
      </c>
      <c r="F49" s="62" t="e">
        <f>#REF!/1000</f>
        <v>#REF!</v>
      </c>
      <c r="G49" s="62" t="e">
        <f>#REF!/1000</f>
        <v>#REF!</v>
      </c>
      <c r="H49" s="62">
        <v>318.94711099999995</v>
      </c>
      <c r="I49" s="62">
        <v>542.84796499999993</v>
      </c>
      <c r="J49" s="62">
        <v>851.03044399999999</v>
      </c>
      <c r="K49" s="62">
        <v>1296.8762590000001</v>
      </c>
      <c r="L49" s="62">
        <v>1650.6924770000001</v>
      </c>
      <c r="M49" s="63">
        <v>1037.993725</v>
      </c>
    </row>
    <row r="50" spans="2:18" x14ac:dyDescent="0.25">
      <c r="B50" s="55" t="s">
        <v>25</v>
      </c>
      <c r="C50" s="62"/>
      <c r="D50" s="62" t="e">
        <f>#REF!/1000</f>
        <v>#REF!</v>
      </c>
      <c r="E50" s="62" t="e">
        <f>#REF!/1000</f>
        <v>#REF!</v>
      </c>
      <c r="F50" s="62" t="e">
        <f>#REF!/1000</f>
        <v>#REF!</v>
      </c>
      <c r="G50" s="62" t="e">
        <f>#REF!/1000</f>
        <v>#REF!</v>
      </c>
      <c r="H50" s="62">
        <v>863.00045999999998</v>
      </c>
      <c r="I50" s="62">
        <v>1427.7017150000001</v>
      </c>
      <c r="J50" s="62">
        <v>1357.6560630000001</v>
      </c>
      <c r="K50" s="62">
        <v>2876.5365550000001</v>
      </c>
      <c r="L50" s="62">
        <v>3658.160402</v>
      </c>
      <c r="M50" s="63">
        <v>2376.4635229999999</v>
      </c>
      <c r="N50" s="88"/>
      <c r="O50" s="88"/>
      <c r="P50" s="88"/>
      <c r="Q50" s="88"/>
      <c r="R50" s="88"/>
    </row>
    <row r="51" spans="2:18" x14ac:dyDescent="0.25">
      <c r="B51" s="55" t="s">
        <v>6</v>
      </c>
      <c r="C51" s="62"/>
      <c r="D51" s="62" t="e">
        <f>#REF!/1000</f>
        <v>#REF!</v>
      </c>
      <c r="E51" s="62" t="e">
        <f>#REF!/1000</f>
        <v>#REF!</v>
      </c>
      <c r="F51" s="62" t="e">
        <f>#REF!/1000</f>
        <v>#REF!</v>
      </c>
      <c r="G51" s="62" t="e">
        <f>#REF!/1000</f>
        <v>#REF!</v>
      </c>
      <c r="H51" s="62">
        <v>947.199207</v>
      </c>
      <c r="I51" s="62">
        <v>745.96215099999995</v>
      </c>
      <c r="J51" s="62">
        <v>748.08674399999995</v>
      </c>
      <c r="K51" s="62">
        <v>446.80080400000003</v>
      </c>
      <c r="L51" s="62">
        <v>518.39048100000002</v>
      </c>
      <c r="M51" s="63">
        <v>737.81122200000004</v>
      </c>
    </row>
    <row r="52" spans="2:18" x14ac:dyDescent="0.25">
      <c r="B52" s="55" t="s">
        <v>19</v>
      </c>
      <c r="C52" s="62"/>
      <c r="D52" s="62" t="e">
        <f>#REF!/1000</f>
        <v>#REF!</v>
      </c>
      <c r="E52" s="62" t="e">
        <f>#REF!/1000</f>
        <v>#REF!</v>
      </c>
      <c r="F52" s="62" t="e">
        <f>#REF!/1000</f>
        <v>#REF!</v>
      </c>
      <c r="G52" s="62" t="e">
        <f>#REF!/1000</f>
        <v>#REF!</v>
      </c>
      <c r="H52" s="62">
        <v>88.915795000000003</v>
      </c>
      <c r="I52" s="62">
        <v>87.066321000000002</v>
      </c>
      <c r="J52" s="62">
        <v>112.863117</v>
      </c>
      <c r="K52" s="62">
        <v>124.14368899999999</v>
      </c>
      <c r="L52" s="62">
        <v>0</v>
      </c>
      <c r="M52" s="63">
        <v>0</v>
      </c>
    </row>
    <row r="53" spans="2:18" x14ac:dyDescent="0.25">
      <c r="B53" s="55" t="s">
        <v>26</v>
      </c>
      <c r="C53" s="62"/>
      <c r="D53" s="62" t="e">
        <f>#REF!/1000+#REF!/1000</f>
        <v>#REF!</v>
      </c>
      <c r="E53" s="62" t="e">
        <f>#REF!/1000+#REF!/1000</f>
        <v>#REF!</v>
      </c>
      <c r="F53" s="62" t="e">
        <f>#REF!/1000+#REF!/1000</f>
        <v>#REF!</v>
      </c>
      <c r="G53" s="62" t="e">
        <f>#REF!/1000+#REF!/1000</f>
        <v>#REF!</v>
      </c>
      <c r="H53" s="62">
        <v>186.85409200000001</v>
      </c>
      <c r="I53" s="62">
        <v>167.56809200000001</v>
      </c>
      <c r="J53" s="62">
        <v>503.27915999999999</v>
      </c>
      <c r="K53" s="62">
        <v>402.11112699999995</v>
      </c>
      <c r="L53" s="62">
        <v>17.228096000000001</v>
      </c>
      <c r="M53" s="63">
        <v>19.209205999999998</v>
      </c>
    </row>
    <row r="54" spans="2:18" x14ac:dyDescent="0.25">
      <c r="B54" s="55" t="s">
        <v>38</v>
      </c>
      <c r="C54" s="62"/>
      <c r="D54" s="62" t="e">
        <f>#REF!/1000</f>
        <v>#REF!</v>
      </c>
      <c r="E54" s="62" t="e">
        <f>#REF!/1000</f>
        <v>#REF!</v>
      </c>
      <c r="F54" s="62" t="e">
        <f>#REF!/1000</f>
        <v>#REF!</v>
      </c>
      <c r="G54" s="62" t="e">
        <f>#REF!/1000</f>
        <v>#REF!</v>
      </c>
      <c r="H54" s="62">
        <v>0</v>
      </c>
      <c r="I54" s="62">
        <v>0</v>
      </c>
      <c r="J54" s="62">
        <v>0</v>
      </c>
      <c r="K54" s="62">
        <v>0</v>
      </c>
      <c r="L54" s="62">
        <v>0</v>
      </c>
      <c r="M54" s="63">
        <v>0</v>
      </c>
    </row>
    <row r="55" spans="2:18" x14ac:dyDescent="0.25">
      <c r="B55" s="55" t="s">
        <v>68</v>
      </c>
      <c r="C55" s="62"/>
      <c r="D55" s="62" t="e">
        <f>#REF!/1000</f>
        <v>#REF!</v>
      </c>
      <c r="E55" s="62" t="e">
        <f>#REF!/1000</f>
        <v>#REF!</v>
      </c>
      <c r="F55" s="62" t="e">
        <f>#REF!/1000</f>
        <v>#REF!</v>
      </c>
      <c r="G55" s="62" t="e">
        <f>#REF!/1000</f>
        <v>#REF!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3">
        <v>0</v>
      </c>
    </row>
    <row r="56" spans="2:18" s="53" customFormat="1" x14ac:dyDescent="0.25">
      <c r="B56" s="80" t="s">
        <v>13</v>
      </c>
      <c r="C56" s="81"/>
      <c r="D56" s="81" t="e">
        <f t="shared" ref="D56:I56" si="8">SUM(D46:D55)</f>
        <v>#REF!</v>
      </c>
      <c r="E56" s="81" t="e">
        <f t="shared" si="8"/>
        <v>#REF!</v>
      </c>
      <c r="F56" s="81" t="e">
        <f t="shared" si="8"/>
        <v>#REF!</v>
      </c>
      <c r="G56" s="81" t="e">
        <f t="shared" si="8"/>
        <v>#REF!</v>
      </c>
      <c r="H56" s="81">
        <v>9155.1477940000022</v>
      </c>
      <c r="I56" s="81">
        <v>10259.498642</v>
      </c>
      <c r="J56" s="81">
        <v>11575.103681000002</v>
      </c>
      <c r="K56" s="81">
        <v>13155.114989000002</v>
      </c>
      <c r="L56" s="81">
        <v>13994.028124</v>
      </c>
      <c r="M56" s="82">
        <v>13385.894278</v>
      </c>
    </row>
    <row r="57" spans="2:18" x14ac:dyDescent="0.25">
      <c r="C57" s="58"/>
      <c r="D57" s="58"/>
      <c r="E57" s="58"/>
      <c r="F57" s="58"/>
      <c r="G57" s="62"/>
      <c r="H57" s="58"/>
      <c r="I57" s="58"/>
      <c r="J57" s="62"/>
      <c r="K57" s="62"/>
      <c r="L57" s="62"/>
      <c r="M57" s="62"/>
    </row>
    <row r="58" spans="2:18" x14ac:dyDescent="0.25">
      <c r="B58" s="59" t="s">
        <v>141</v>
      </c>
      <c r="C58" s="60">
        <v>2010</v>
      </c>
      <c r="D58" s="60">
        <v>2011</v>
      </c>
      <c r="E58" s="60">
        <v>2012</v>
      </c>
      <c r="F58" s="60">
        <v>2013</v>
      </c>
      <c r="G58" s="60">
        <v>2014</v>
      </c>
      <c r="H58" s="60">
        <v>2015</v>
      </c>
      <c r="I58" s="60">
        <v>2016</v>
      </c>
      <c r="J58" s="60">
        <v>2017</v>
      </c>
      <c r="K58" s="60">
        <v>2018</v>
      </c>
      <c r="L58" s="60">
        <v>2019</v>
      </c>
      <c r="M58" s="61">
        <v>2019</v>
      </c>
    </row>
    <row r="59" spans="2:18" x14ac:dyDescent="0.25">
      <c r="B59" s="89"/>
      <c r="C59" s="90"/>
      <c r="D59" s="62"/>
      <c r="E59" s="62"/>
      <c r="F59" s="62"/>
      <c r="G59" s="62"/>
      <c r="H59" s="62"/>
      <c r="I59" s="62"/>
      <c r="J59" s="62"/>
      <c r="K59" s="62"/>
      <c r="L59" s="62"/>
      <c r="M59" s="63"/>
    </row>
    <row r="60" spans="2:18" s="53" customFormat="1" x14ac:dyDescent="0.25">
      <c r="B60" s="91" t="s">
        <v>143</v>
      </c>
      <c r="C60" s="92"/>
      <c r="D60" s="92">
        <v>933.4</v>
      </c>
      <c r="E60" s="92">
        <v>1733.8422820000001</v>
      </c>
      <c r="F60" s="92">
        <v>956.02014099999997</v>
      </c>
      <c r="G60" s="92">
        <v>782.115768</v>
      </c>
      <c r="H60" s="92">
        <v>1419.9772479999999</v>
      </c>
      <c r="I60" s="92">
        <v>847.12154199999998</v>
      </c>
      <c r="J60" s="92">
        <v>1162.1332669999999</v>
      </c>
      <c r="K60" s="92">
        <v>756.66301799999997</v>
      </c>
      <c r="L60" s="92">
        <v>804.34240699999998</v>
      </c>
      <c r="M60" s="93">
        <v>1705</v>
      </c>
    </row>
    <row r="61" spans="2:18" x14ac:dyDescent="0.25">
      <c r="B61" s="94" t="s">
        <v>144</v>
      </c>
      <c r="C61" s="62"/>
      <c r="D61" s="62">
        <v>5.5200009999999997</v>
      </c>
      <c r="E61" s="62">
        <v>-449.75771800000001</v>
      </c>
      <c r="F61" s="62">
        <v>391.46292599999998</v>
      </c>
      <c r="G61" s="62">
        <v>-1676.997308</v>
      </c>
      <c r="H61" s="62">
        <v>-8.3289639999999991</v>
      </c>
      <c r="I61" s="62">
        <v>-298.93799100000001</v>
      </c>
      <c r="J61" s="95">
        <v>-423.94451700000002</v>
      </c>
      <c r="K61" s="95">
        <v>-8.9078330000000001</v>
      </c>
      <c r="L61" s="62">
        <v>311.02493199999998</v>
      </c>
      <c r="M61" s="63">
        <v>-811</v>
      </c>
    </row>
    <row r="62" spans="2:18" x14ac:dyDescent="0.25">
      <c r="B62" s="94" t="s">
        <v>145</v>
      </c>
      <c r="C62" s="62"/>
      <c r="D62" s="62">
        <v>1.6157090000000001</v>
      </c>
      <c r="E62" s="62">
        <v>-86.539873</v>
      </c>
      <c r="F62" s="62">
        <v>-86.552707999999996</v>
      </c>
      <c r="G62" s="62">
        <v>-63.173378</v>
      </c>
      <c r="H62" s="62">
        <v>-269.09283900000003</v>
      </c>
      <c r="I62" s="62">
        <v>-610.37979199999995</v>
      </c>
      <c r="J62" s="95">
        <v>-90.906998999999999</v>
      </c>
      <c r="K62" s="95">
        <v>-117.127073</v>
      </c>
      <c r="L62" s="62">
        <v>-126.747854</v>
      </c>
      <c r="M62" s="63">
        <v>-35</v>
      </c>
    </row>
    <row r="63" spans="2:18" x14ac:dyDescent="0.25">
      <c r="B63" s="94" t="s">
        <v>146</v>
      </c>
      <c r="C63" s="62"/>
      <c r="D63" s="62">
        <v>-1.5247360000000001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-1.405994</v>
      </c>
      <c r="L63" s="62">
        <v>-3.2888289999999998</v>
      </c>
      <c r="M63" s="63">
        <v>-6</v>
      </c>
    </row>
    <row r="64" spans="2:18" x14ac:dyDescent="0.25">
      <c r="B64" s="94" t="s">
        <v>147</v>
      </c>
      <c r="C64" s="62"/>
      <c r="D64" s="62">
        <v>0.277808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20</v>
      </c>
      <c r="L64" s="62">
        <v>0</v>
      </c>
      <c r="M64" s="63">
        <v>0</v>
      </c>
    </row>
    <row r="65" spans="2:15" x14ac:dyDescent="0.25">
      <c r="B65" s="94" t="s">
        <v>148</v>
      </c>
      <c r="C65" s="90"/>
      <c r="D65" s="62"/>
      <c r="E65" s="62"/>
      <c r="F65" s="62"/>
      <c r="G65" s="62"/>
      <c r="H65" s="62"/>
      <c r="I65" s="62"/>
      <c r="J65" s="62"/>
      <c r="K65" s="62"/>
      <c r="L65" s="62"/>
      <c r="M65" s="63"/>
    </row>
    <row r="66" spans="2:15" x14ac:dyDescent="0.25">
      <c r="B66" s="94" t="s">
        <v>149</v>
      </c>
      <c r="C66" s="62"/>
      <c r="D66" s="62"/>
      <c r="E66" s="62">
        <v>-370</v>
      </c>
      <c r="F66" s="62">
        <v>-970.88</v>
      </c>
      <c r="G66" s="62">
        <v>-850.11199999999997</v>
      </c>
      <c r="H66" s="62">
        <v>-164.44499999999999</v>
      </c>
      <c r="I66" s="62">
        <v>-197.33333300000001</v>
      </c>
      <c r="J66" s="62">
        <v>-328.88888800000001</v>
      </c>
      <c r="K66" s="62">
        <v>-657.77120000000002</v>
      </c>
      <c r="L66" s="62">
        <v>-493.33333299999998</v>
      </c>
      <c r="M66" s="63">
        <v>-493</v>
      </c>
    </row>
    <row r="67" spans="2:15" x14ac:dyDescent="0.25">
      <c r="B67" s="91" t="s">
        <v>150</v>
      </c>
      <c r="C67" s="56"/>
      <c r="D67" s="92">
        <f>D60+SUM(D61:D66)</f>
        <v>939.28878199999997</v>
      </c>
      <c r="E67" s="92">
        <f t="shared" ref="E67:L67" si="9">E60+SUM(E61:E66)</f>
        <v>827.54469100000006</v>
      </c>
      <c r="F67" s="92">
        <f t="shared" si="9"/>
        <v>290.05035899999996</v>
      </c>
      <c r="G67" s="92">
        <f t="shared" si="9"/>
        <v>-1808.1669179999999</v>
      </c>
      <c r="H67" s="92">
        <v>978.11044499999991</v>
      </c>
      <c r="I67" s="92">
        <v>-259.52957400000003</v>
      </c>
      <c r="J67" s="92">
        <v>318.39286299999981</v>
      </c>
      <c r="K67" s="92">
        <v>-8.5490819999999985</v>
      </c>
      <c r="L67" s="92">
        <v>491.99732299999994</v>
      </c>
      <c r="M67" s="93">
        <v>360</v>
      </c>
    </row>
    <row r="68" spans="2:15" x14ac:dyDescent="0.25">
      <c r="B68" s="94"/>
      <c r="C68" s="56"/>
      <c r="D68" s="62"/>
      <c r="E68" s="62"/>
      <c r="F68" s="62"/>
      <c r="G68" s="62"/>
      <c r="H68" s="62"/>
      <c r="I68" s="62"/>
      <c r="J68" s="62"/>
      <c r="K68" s="62"/>
      <c r="L68" s="62"/>
      <c r="M68" s="63"/>
    </row>
    <row r="69" spans="2:15" x14ac:dyDescent="0.25">
      <c r="B69" s="96" t="s">
        <v>151</v>
      </c>
      <c r="C69" s="90"/>
      <c r="D69" s="62"/>
      <c r="E69" s="62"/>
      <c r="F69" s="62"/>
      <c r="G69" s="62"/>
      <c r="H69" s="62">
        <v>2963.8258990000004</v>
      </c>
      <c r="I69" s="62">
        <v>3941.9363440000002</v>
      </c>
      <c r="J69" s="62">
        <v>3682.4067700000001</v>
      </c>
      <c r="K69" s="62">
        <v>4000.7996329999996</v>
      </c>
      <c r="L69" s="62">
        <v>3992.2505509999996</v>
      </c>
      <c r="M69" s="63">
        <v>4484.2478739999997</v>
      </c>
    </row>
    <row r="70" spans="2:15" x14ac:dyDescent="0.25">
      <c r="B70" s="97" t="s">
        <v>152</v>
      </c>
      <c r="C70" s="56"/>
      <c r="D70" s="62"/>
      <c r="E70" s="62"/>
      <c r="F70" s="62"/>
      <c r="G70" s="62"/>
      <c r="H70" s="62">
        <v>3941.9363440000002</v>
      </c>
      <c r="I70" s="62">
        <v>3682.4067700000001</v>
      </c>
      <c r="J70" s="62">
        <v>4000.7996329999996</v>
      </c>
      <c r="K70" s="62">
        <v>3992.2505509999996</v>
      </c>
      <c r="L70" s="62">
        <v>4484.2478739999997</v>
      </c>
      <c r="M70" s="63">
        <v>4844.2478739999997</v>
      </c>
    </row>
    <row r="71" spans="2:15" x14ac:dyDescent="0.25">
      <c r="B71" s="98" t="s">
        <v>153</v>
      </c>
      <c r="C71" s="90"/>
      <c r="D71" s="62"/>
      <c r="E71" s="62"/>
      <c r="F71" s="62"/>
      <c r="G71" s="62"/>
      <c r="H71" s="62"/>
      <c r="I71" s="62"/>
      <c r="J71" s="62"/>
      <c r="K71" s="62"/>
      <c r="L71" s="62"/>
      <c r="M71" s="63"/>
    </row>
    <row r="72" spans="2:15" x14ac:dyDescent="0.25">
      <c r="B72" s="99" t="s">
        <v>154</v>
      </c>
      <c r="C72" s="100"/>
      <c r="D72" s="101" t="e">
        <f t="shared" ref="D72:L72" si="10">D47+D54-D42</f>
        <v>#REF!</v>
      </c>
      <c r="E72" s="101" t="e">
        <f t="shared" si="10"/>
        <v>#REF!</v>
      </c>
      <c r="F72" s="101" t="e">
        <f t="shared" si="10"/>
        <v>#REF!</v>
      </c>
      <c r="G72" s="101" t="e">
        <f t="shared" si="10"/>
        <v>#REF!</v>
      </c>
      <c r="H72" s="101">
        <v>-2208.3977320000004</v>
      </c>
      <c r="I72" s="101">
        <v>-1797.241004</v>
      </c>
      <c r="J72" s="101">
        <v>-2129.7792939999999</v>
      </c>
      <c r="K72" s="101">
        <v>-1927.8069884000001</v>
      </c>
      <c r="L72" s="101">
        <v>-2398.4735630000005</v>
      </c>
      <c r="M72" s="102">
        <v>-2371.1493259999997</v>
      </c>
    </row>
    <row r="73" spans="2:15" x14ac:dyDescent="0.25">
      <c r="C73" s="58"/>
      <c r="D73" s="58"/>
      <c r="E73" s="58"/>
      <c r="F73" s="58"/>
      <c r="G73" s="62"/>
      <c r="H73" s="58"/>
      <c r="I73" s="58"/>
      <c r="J73" s="62"/>
      <c r="K73" s="62"/>
      <c r="L73" s="62"/>
      <c r="M73" s="62"/>
    </row>
    <row r="74" spans="2:15" x14ac:dyDescent="0.25">
      <c r="G74" s="56"/>
      <c r="J74" s="56"/>
      <c r="K74" s="56"/>
      <c r="M74" s="56"/>
    </row>
    <row r="75" spans="2:15" s="53" customFormat="1" x14ac:dyDescent="0.25">
      <c r="B75" s="50" t="s">
        <v>159</v>
      </c>
      <c r="C75" s="60">
        <v>2010</v>
      </c>
      <c r="D75" s="60">
        <v>2011</v>
      </c>
      <c r="E75" s="60">
        <v>2012</v>
      </c>
      <c r="F75" s="60">
        <v>2013</v>
      </c>
      <c r="G75" s="60">
        <v>2014</v>
      </c>
      <c r="H75" s="60">
        <v>2015</v>
      </c>
      <c r="I75" s="60">
        <v>2016</v>
      </c>
      <c r="J75" s="60">
        <v>2017</v>
      </c>
      <c r="K75" s="60">
        <v>2018</v>
      </c>
      <c r="L75" s="60">
        <v>2019</v>
      </c>
      <c r="M75" s="61">
        <v>2020</v>
      </c>
      <c r="N75" s="52"/>
      <c r="O75" s="52"/>
    </row>
    <row r="76" spans="2:15" x14ac:dyDescent="0.25">
      <c r="B76" s="55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3"/>
    </row>
    <row r="77" spans="2:15" x14ac:dyDescent="0.25">
      <c r="B77" s="51" t="s">
        <v>29</v>
      </c>
      <c r="C77" s="103"/>
      <c r="D77" s="104"/>
      <c r="E77" s="104" t="e">
        <f t="shared" ref="E77:M78" si="11">((E5-D5)/D5)*100</f>
        <v>#REF!</v>
      </c>
      <c r="F77" s="104" t="e">
        <f t="shared" si="11"/>
        <v>#REF!</v>
      </c>
      <c r="G77" s="104" t="e">
        <f t="shared" si="11"/>
        <v>#REF!</v>
      </c>
      <c r="H77" s="104">
        <v>13.632478650143467</v>
      </c>
      <c r="I77" s="104">
        <v>-20.342583170800303</v>
      </c>
      <c r="J77" s="104">
        <v>25.442131810091407</v>
      </c>
      <c r="K77" s="104">
        <v>2.6898132139372937</v>
      </c>
      <c r="L77" s="104">
        <v>11.538814951156924</v>
      </c>
      <c r="M77" s="105">
        <v>23.332867841021049</v>
      </c>
    </row>
    <row r="78" spans="2:15" x14ac:dyDescent="0.25">
      <c r="B78" s="51" t="s">
        <v>9</v>
      </c>
      <c r="C78" s="103"/>
      <c r="D78" s="104"/>
      <c r="E78" s="104" t="e">
        <f t="shared" si="11"/>
        <v>#REF!</v>
      </c>
      <c r="F78" s="104" t="e">
        <f t="shared" si="11"/>
        <v>#REF!</v>
      </c>
      <c r="G78" s="104" t="e">
        <f t="shared" si="11"/>
        <v>#REF!</v>
      </c>
      <c r="H78" s="104">
        <v>73.971633839323573</v>
      </c>
      <c r="I78" s="104">
        <v>-51.148497896148534</v>
      </c>
      <c r="J78" s="104">
        <v>-5.5699306755560949</v>
      </c>
      <c r="K78" s="104">
        <v>-6.0290686694839692</v>
      </c>
      <c r="L78" s="104">
        <v>15.179063720057947</v>
      </c>
      <c r="M78" s="105">
        <v>-11.79923657315134</v>
      </c>
    </row>
    <row r="79" spans="2:15" x14ac:dyDescent="0.25">
      <c r="B79" s="51" t="s">
        <v>30</v>
      </c>
      <c r="C79" s="103"/>
      <c r="D79" s="104"/>
      <c r="E79" s="104" t="e">
        <f>((E7-D7)/D7)*100</f>
        <v>#REF!</v>
      </c>
      <c r="F79" s="104" t="e">
        <f>((F7-E7)/E7)*100</f>
        <v>#REF!</v>
      </c>
      <c r="G79" s="104" t="e">
        <f>((G7-F7)/F7)*100</f>
        <v>#REF!</v>
      </c>
      <c r="H79" s="104">
        <v>18.363822186322277</v>
      </c>
      <c r="I79" s="104">
        <v>-23.892995782130598</v>
      </c>
      <c r="J79" s="104">
        <v>-6.2757878434471852</v>
      </c>
      <c r="K79" s="104">
        <v>2.1952270702189516</v>
      </c>
      <c r="L79" s="104">
        <v>11.728693162769215</v>
      </c>
      <c r="M79" s="105">
        <v>21.443758660453128</v>
      </c>
    </row>
    <row r="80" spans="2:15" x14ac:dyDescent="0.25">
      <c r="B80" s="51" t="s">
        <v>28</v>
      </c>
      <c r="C80" s="103"/>
      <c r="D80" s="104"/>
      <c r="E80" s="104" t="e">
        <f t="shared" ref="E80:M80" si="12">((E9-D9)/D9)*100</f>
        <v>#REF!</v>
      </c>
      <c r="F80" s="104" t="e">
        <f t="shared" si="12"/>
        <v>#REF!</v>
      </c>
      <c r="G80" s="104" t="e">
        <f t="shared" si="12"/>
        <v>#REF!</v>
      </c>
      <c r="H80" s="104">
        <v>-2.9351801803948256</v>
      </c>
      <c r="I80" s="104">
        <v>-25.938804446676905</v>
      </c>
      <c r="J80" s="104">
        <v>23.52009320466771</v>
      </c>
      <c r="K80" s="104">
        <v>23.296925961370583</v>
      </c>
      <c r="L80" s="104">
        <v>79.889834343968914</v>
      </c>
      <c r="M80" s="105">
        <v>10.130706053609044</v>
      </c>
    </row>
    <row r="81" spans="2:13" x14ac:dyDescent="0.25">
      <c r="B81" s="51" t="s">
        <v>27</v>
      </c>
      <c r="C81" s="103"/>
      <c r="D81" s="104"/>
      <c r="E81" s="104" t="e">
        <f t="shared" ref="E81:M83" si="13">((E11-D11)/D11)*100</f>
        <v>#REF!</v>
      </c>
      <c r="F81" s="104" t="e">
        <f t="shared" si="13"/>
        <v>#REF!</v>
      </c>
      <c r="G81" s="104" t="e">
        <f t="shared" si="13"/>
        <v>#REF!</v>
      </c>
      <c r="H81" s="104">
        <v>-174.64537183053281</v>
      </c>
      <c r="I81" s="104">
        <v>-129.81792800652971</v>
      </c>
      <c r="J81" s="104">
        <v>-152.29665689745136</v>
      </c>
      <c r="K81" s="104">
        <v>-810.01509508251047</v>
      </c>
      <c r="L81" s="104">
        <v>-22.513912517012901</v>
      </c>
      <c r="M81" s="105">
        <v>-97.025872123534128</v>
      </c>
    </row>
    <row r="82" spans="2:13" x14ac:dyDescent="0.25">
      <c r="B82" s="51" t="s">
        <v>21</v>
      </c>
      <c r="C82" s="103"/>
      <c r="D82" s="104"/>
      <c r="E82" s="104" t="e">
        <f t="shared" si="13"/>
        <v>#REF!</v>
      </c>
      <c r="F82" s="104" t="e">
        <f t="shared" si="13"/>
        <v>#REF!</v>
      </c>
      <c r="G82" s="104" t="e">
        <f t="shared" si="13"/>
        <v>#REF!</v>
      </c>
      <c r="H82" s="104">
        <v>5.2557968015768255</v>
      </c>
      <c r="I82" s="104">
        <v>-2.9775911642042283</v>
      </c>
      <c r="J82" s="104">
        <v>4.6244591953508429</v>
      </c>
      <c r="K82" s="104">
        <v>-5.0843694377802455</v>
      </c>
      <c r="L82" s="104">
        <v>18.704254761689597</v>
      </c>
      <c r="M82" s="105">
        <v>3.0297416503297603</v>
      </c>
    </row>
    <row r="83" spans="2:13" x14ac:dyDescent="0.25">
      <c r="B83" s="51" t="s">
        <v>22</v>
      </c>
      <c r="C83" s="103"/>
      <c r="D83" s="104"/>
      <c r="E83" s="104" t="e">
        <f t="shared" si="13"/>
        <v>#REF!</v>
      </c>
      <c r="F83" s="104" t="e">
        <f t="shared" si="13"/>
        <v>#REF!</v>
      </c>
      <c r="G83" s="104" t="e">
        <f t="shared" si="13"/>
        <v>#REF!</v>
      </c>
      <c r="H83" s="104">
        <v>-20.801342823601381</v>
      </c>
      <c r="I83" s="104">
        <v>-11.109477467417751</v>
      </c>
      <c r="J83" s="104">
        <v>-3.0878129059987538</v>
      </c>
      <c r="K83" s="104">
        <v>-59.452398462702803</v>
      </c>
      <c r="L83" s="104">
        <v>9.0660619227157504</v>
      </c>
      <c r="M83" s="105">
        <v>-49.861163320167265</v>
      </c>
    </row>
    <row r="84" spans="2:13" x14ac:dyDescent="0.25">
      <c r="B84" s="51" t="s">
        <v>7</v>
      </c>
      <c r="C84" s="103"/>
      <c r="D84" s="104"/>
      <c r="E84" s="104" t="e">
        <f t="shared" ref="E84:I88" si="14">((E14-D14)/D14)*100</f>
        <v>#REF!</v>
      </c>
      <c r="F84" s="104" t="e">
        <f t="shared" si="14"/>
        <v>#REF!</v>
      </c>
      <c r="G84" s="104" t="e">
        <f t="shared" si="14"/>
        <v>#REF!</v>
      </c>
      <c r="H84" s="104">
        <v>10.982336698561406</v>
      </c>
      <c r="I84" s="104">
        <v>-6.2028457053955428</v>
      </c>
      <c r="J84" s="104">
        <v>-6.8424050494181019</v>
      </c>
      <c r="K84" s="104">
        <v>-11.757159165830346</v>
      </c>
      <c r="L84" s="104">
        <v>4.197480220185299</v>
      </c>
      <c r="M84" s="105">
        <v>8.8577772845225855</v>
      </c>
    </row>
    <row r="85" spans="2:13" x14ac:dyDescent="0.25">
      <c r="B85" s="51" t="s">
        <v>15</v>
      </c>
      <c r="C85" s="103"/>
      <c r="D85" s="104"/>
      <c r="E85" s="104" t="e">
        <f t="shared" si="14"/>
        <v>#REF!</v>
      </c>
      <c r="F85" s="104" t="e">
        <f t="shared" si="14"/>
        <v>#REF!</v>
      </c>
      <c r="G85" s="104" t="e">
        <f t="shared" si="14"/>
        <v>#REF!</v>
      </c>
      <c r="H85" s="104">
        <v>196.92299725934541</v>
      </c>
      <c r="I85" s="104">
        <v>-70.162085495714209</v>
      </c>
      <c r="J85" s="104">
        <v>-19.421643145838811</v>
      </c>
      <c r="K85" s="104">
        <v>22.877664531038178</v>
      </c>
      <c r="L85" s="104">
        <v>49.73896766750196</v>
      </c>
      <c r="M85" s="105">
        <v>-29.640772203968897</v>
      </c>
    </row>
    <row r="86" spans="2:13" x14ac:dyDescent="0.25">
      <c r="B86" s="51" t="s">
        <v>23</v>
      </c>
      <c r="C86" s="103"/>
      <c r="D86" s="104"/>
      <c r="E86" s="104" t="e">
        <f t="shared" si="14"/>
        <v>#REF!</v>
      </c>
      <c r="F86" s="104" t="e">
        <f t="shared" si="14"/>
        <v>#REF!</v>
      </c>
      <c r="G86" s="104" t="e">
        <f t="shared" si="14"/>
        <v>#REF!</v>
      </c>
      <c r="H86" s="104">
        <v>-27.34137008388592</v>
      </c>
      <c r="I86" s="104">
        <v>22.232172327944518</v>
      </c>
      <c r="J86" s="104">
        <v>-35.949953855266827</v>
      </c>
      <c r="K86" s="104">
        <v>19.855505033653927</v>
      </c>
      <c r="L86" s="104">
        <v>-17.151036602510285</v>
      </c>
      <c r="M86" s="105">
        <v>-2.2789481688212962</v>
      </c>
    </row>
    <row r="87" spans="2:13" x14ac:dyDescent="0.25">
      <c r="B87" s="51" t="s">
        <v>8</v>
      </c>
      <c r="C87" s="103"/>
      <c r="D87" s="104"/>
      <c r="E87" s="104" t="e">
        <f t="shared" si="14"/>
        <v>#REF!</v>
      </c>
      <c r="F87" s="104" t="e">
        <f t="shared" si="14"/>
        <v>#REF!</v>
      </c>
      <c r="G87" s="104" t="e">
        <f t="shared" si="14"/>
        <v>#REF!</v>
      </c>
      <c r="H87" s="104">
        <v>20.011759833608377</v>
      </c>
      <c r="I87" s="104">
        <v>-21.322383146608438</v>
      </c>
      <c r="J87" s="104">
        <v>19.919870683505433</v>
      </c>
      <c r="K87" s="104">
        <v>7.70242620221505</v>
      </c>
      <c r="L87" s="104">
        <v>8.5009831978910722</v>
      </c>
      <c r="M87" s="105">
        <v>6.9409334635699969</v>
      </c>
    </row>
    <row r="88" spans="2:13" x14ac:dyDescent="0.25">
      <c r="B88" s="51" t="s">
        <v>31</v>
      </c>
      <c r="C88" s="103"/>
      <c r="D88" s="104"/>
      <c r="E88" s="104" t="e">
        <f t="shared" si="14"/>
        <v>#REF!</v>
      </c>
      <c r="F88" s="104" t="e">
        <f t="shared" si="14"/>
        <v>#REF!</v>
      </c>
      <c r="G88" s="104" t="e">
        <f t="shared" si="14"/>
        <v>#REF!</v>
      </c>
      <c r="H88" s="104">
        <v>97.745850027968402</v>
      </c>
      <c r="I88" s="104">
        <v>-44.426480506469531</v>
      </c>
      <c r="J88" s="104">
        <v>28.331678387723919</v>
      </c>
      <c r="K88" s="104">
        <v>-37.084816277590228</v>
      </c>
      <c r="L88" s="104">
        <v>15.458040061158753</v>
      </c>
      <c r="M88" s="105">
        <v>107.4928705354599</v>
      </c>
    </row>
    <row r="89" spans="2:13" x14ac:dyDescent="0.25">
      <c r="B89" s="51" t="s">
        <v>33</v>
      </c>
      <c r="C89" s="103"/>
      <c r="D89" s="104"/>
      <c r="E89" s="104" t="e">
        <f t="shared" ref="E89:M89" si="15">((E21-D21)/D21)*100</f>
        <v>#REF!</v>
      </c>
      <c r="F89" s="104" t="e">
        <f t="shared" si="15"/>
        <v>#REF!</v>
      </c>
      <c r="G89" s="104" t="e">
        <f t="shared" si="15"/>
        <v>#REF!</v>
      </c>
      <c r="H89" s="104">
        <v>250.56996052441528</v>
      </c>
      <c r="I89" s="104">
        <v>-67.561916535409992</v>
      </c>
      <c r="J89" s="104">
        <v>122.93268126438208</v>
      </c>
      <c r="K89" s="104">
        <v>-69.557835227444656</v>
      </c>
      <c r="L89" s="104">
        <v>69.528717923176316</v>
      </c>
      <c r="M89" s="105">
        <v>36.193265333629135</v>
      </c>
    </row>
    <row r="90" spans="2:13" x14ac:dyDescent="0.25">
      <c r="B90" s="51" t="s">
        <v>16</v>
      </c>
      <c r="C90" s="103"/>
      <c r="D90" s="104"/>
      <c r="E90" s="104" t="e">
        <f t="shared" ref="E90:K90" si="16">((E22-D22)/D22)*100</f>
        <v>#REF!</v>
      </c>
      <c r="F90" s="104" t="e">
        <f t="shared" si="16"/>
        <v>#REF!</v>
      </c>
      <c r="G90" s="104" t="e">
        <f t="shared" si="16"/>
        <v>#REF!</v>
      </c>
      <c r="H90" s="104">
        <v>115.61061880937382</v>
      </c>
      <c r="I90" s="104">
        <v>-69.985306752328086</v>
      </c>
      <c r="J90" s="104">
        <v>344.95896890793023</v>
      </c>
      <c r="K90" s="104">
        <v>-100</v>
      </c>
      <c r="L90" s="107" t="s">
        <v>142</v>
      </c>
      <c r="M90" s="106" t="s">
        <v>142</v>
      </c>
    </row>
    <row r="91" spans="2:13" x14ac:dyDescent="0.25">
      <c r="B91" s="51" t="s">
        <v>10</v>
      </c>
      <c r="C91" s="103"/>
      <c r="D91" s="104"/>
      <c r="E91" s="107" t="s">
        <v>142</v>
      </c>
      <c r="F91" s="107" t="s">
        <v>142</v>
      </c>
      <c r="G91" s="107" t="s">
        <v>142</v>
      </c>
      <c r="H91" s="107" t="s">
        <v>142</v>
      </c>
      <c r="I91" s="107" t="s">
        <v>142</v>
      </c>
      <c r="J91" s="107" t="s">
        <v>142</v>
      </c>
      <c r="K91" s="107" t="s">
        <v>142</v>
      </c>
      <c r="L91" s="107" t="s">
        <v>142</v>
      </c>
      <c r="M91" s="106" t="s">
        <v>142</v>
      </c>
    </row>
    <row r="92" spans="2:13" x14ac:dyDescent="0.25">
      <c r="B92" s="51" t="s">
        <v>11</v>
      </c>
      <c r="C92" s="103"/>
      <c r="D92" s="104"/>
      <c r="E92" s="104" t="e">
        <f t="shared" ref="E92:M92" si="17">((E24-D24)/D24)*100</f>
        <v>#REF!</v>
      </c>
      <c r="F92" s="104" t="e">
        <f t="shared" si="17"/>
        <v>#REF!</v>
      </c>
      <c r="G92" s="104" t="e">
        <f t="shared" si="17"/>
        <v>#REF!</v>
      </c>
      <c r="H92" s="104">
        <v>39.338911385068307</v>
      </c>
      <c r="I92" s="104">
        <v>-33.091499899102203</v>
      </c>
      <c r="J92" s="104">
        <v>52.971762239496442</v>
      </c>
      <c r="K92" s="104">
        <v>-55.103768335063478</v>
      </c>
      <c r="L92" s="104">
        <v>45.562134283641079</v>
      </c>
      <c r="M92" s="105">
        <v>87.946310972507618</v>
      </c>
    </row>
    <row r="93" spans="2:13" x14ac:dyDescent="0.25">
      <c r="B93" s="51" t="s">
        <v>17</v>
      </c>
      <c r="C93" s="103"/>
      <c r="D93" s="104"/>
      <c r="E93" s="104" t="e">
        <f t="shared" ref="E93:F96" si="18">((E27-D27)/D27)*100</f>
        <v>#REF!</v>
      </c>
      <c r="F93" s="104" t="e">
        <f t="shared" si="18"/>
        <v>#REF!</v>
      </c>
      <c r="G93" s="104">
        <v>0</v>
      </c>
      <c r="H93" s="104">
        <v>-1539.2308433581729</v>
      </c>
      <c r="I93" s="104">
        <v>-120.09703422773424</v>
      </c>
      <c r="J93" s="104">
        <v>52.875216213951184</v>
      </c>
      <c r="K93" s="104">
        <v>-69.784536341195619</v>
      </c>
      <c r="L93" s="104">
        <v>-50.323155352511485</v>
      </c>
      <c r="M93" s="105">
        <v>6153.6848549438237</v>
      </c>
    </row>
    <row r="94" spans="2:13" x14ac:dyDescent="0.25">
      <c r="B94" s="51" t="s">
        <v>34</v>
      </c>
      <c r="C94" s="103"/>
      <c r="D94" s="104"/>
      <c r="E94" s="104" t="e">
        <f t="shared" si="18"/>
        <v>#REF!</v>
      </c>
      <c r="F94" s="104" t="e">
        <f t="shared" si="18"/>
        <v>#REF!</v>
      </c>
      <c r="G94" s="104" t="e">
        <f>((G28-F28)/F28)*100</f>
        <v>#REF!</v>
      </c>
      <c r="H94" s="104">
        <v>2366.4970419447714</v>
      </c>
      <c r="I94" s="104">
        <v>-100.13380249363961</v>
      </c>
      <c r="J94" s="104">
        <v>-26538.888666666669</v>
      </c>
      <c r="K94" s="104">
        <v>-496.45189196429413</v>
      </c>
      <c r="L94" s="104">
        <v>-97.84397876940514</v>
      </c>
      <c r="M94" s="105">
        <v>-187.57333146893333</v>
      </c>
    </row>
    <row r="95" spans="2:13" x14ac:dyDescent="0.25">
      <c r="B95" s="51" t="s">
        <v>35</v>
      </c>
      <c r="C95" s="103"/>
      <c r="D95" s="104"/>
      <c r="E95" s="104" t="e">
        <f t="shared" si="18"/>
        <v>#REF!</v>
      </c>
      <c r="F95" s="104" t="e">
        <f t="shared" si="18"/>
        <v>#REF!</v>
      </c>
      <c r="G95" s="104" t="e">
        <f>((G29-F29)/F29)*100</f>
        <v>#REF!</v>
      </c>
      <c r="H95" s="104">
        <v>58.887396079140387</v>
      </c>
      <c r="I95" s="104">
        <v>-24.08015601150467</v>
      </c>
      <c r="J95" s="104">
        <v>2.733214805014025</v>
      </c>
      <c r="K95" s="104">
        <v>-46.127045178990372</v>
      </c>
      <c r="L95" s="104">
        <v>58.041978973943799</v>
      </c>
      <c r="M95" s="105">
        <v>109.29446538416687</v>
      </c>
    </row>
    <row r="96" spans="2:13" x14ac:dyDescent="0.25">
      <c r="B96" s="54" t="s">
        <v>20</v>
      </c>
      <c r="C96" s="108"/>
      <c r="D96" s="109"/>
      <c r="E96" s="109" t="e">
        <f t="shared" si="18"/>
        <v>#REF!</v>
      </c>
      <c r="F96" s="109" t="e">
        <f t="shared" si="18"/>
        <v>#REF!</v>
      </c>
      <c r="G96" s="109" t="e">
        <f>((G30-F30)/F30)*100</f>
        <v>#REF!</v>
      </c>
      <c r="H96" s="109">
        <v>0.13981104938868519</v>
      </c>
      <c r="I96" s="109">
        <v>-14.768877058081564</v>
      </c>
      <c r="J96" s="109">
        <v>64.020206616975017</v>
      </c>
      <c r="K96" s="109">
        <v>-22.18779691877366</v>
      </c>
      <c r="L96" s="109">
        <v>-16.358304681453596</v>
      </c>
      <c r="M96" s="110">
        <v>82.875568448670961</v>
      </c>
    </row>
    <row r="97" spans="2:13" x14ac:dyDescent="0.25">
      <c r="G97" s="56"/>
      <c r="J97" s="56"/>
      <c r="K97" s="56"/>
      <c r="M97" s="56"/>
    </row>
    <row r="98" spans="2:13" x14ac:dyDescent="0.25">
      <c r="G98" s="56"/>
      <c r="J98" s="56"/>
      <c r="K98" s="56"/>
      <c r="M98" s="56"/>
    </row>
    <row r="99" spans="2:13" s="53" customFormat="1" x14ac:dyDescent="0.25">
      <c r="B99" s="50" t="s">
        <v>39</v>
      </c>
      <c r="C99" s="60">
        <v>2010</v>
      </c>
      <c r="D99" s="60">
        <v>2011</v>
      </c>
      <c r="E99" s="60">
        <v>2012</v>
      </c>
      <c r="F99" s="60">
        <v>2013</v>
      </c>
      <c r="G99" s="60">
        <v>2014</v>
      </c>
      <c r="H99" s="60">
        <v>2015</v>
      </c>
      <c r="I99" s="60">
        <v>2016</v>
      </c>
      <c r="J99" s="60">
        <v>2017</v>
      </c>
      <c r="K99" s="60">
        <v>2018</v>
      </c>
      <c r="L99" s="60">
        <v>2019</v>
      </c>
      <c r="M99" s="61">
        <v>2020</v>
      </c>
    </row>
    <row r="100" spans="2:13" x14ac:dyDescent="0.25">
      <c r="B100" s="55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3"/>
    </row>
    <row r="101" spans="2:13" x14ac:dyDescent="0.25">
      <c r="B101" s="51" t="s">
        <v>0</v>
      </c>
      <c r="C101" s="103"/>
      <c r="D101" s="104"/>
      <c r="E101" s="104" t="e">
        <f t="shared" ref="E101:G106" si="19">((E37-D37)/D37)*100</f>
        <v>#REF!</v>
      </c>
      <c r="F101" s="104" t="e">
        <f t="shared" si="19"/>
        <v>#REF!</v>
      </c>
      <c r="G101" s="104" t="e">
        <f t="shared" si="19"/>
        <v>#REF!</v>
      </c>
      <c r="H101" s="104">
        <v>0</v>
      </c>
      <c r="I101" s="104">
        <v>98.316521739130451</v>
      </c>
      <c r="J101" s="104">
        <v>1015.4547407745195</v>
      </c>
      <c r="K101" s="104">
        <v>-37.710612866829543</v>
      </c>
      <c r="L101" s="104">
        <v>-54.718504153037408</v>
      </c>
      <c r="M101" s="105">
        <v>-48.215078357773699</v>
      </c>
    </row>
    <row r="102" spans="2:13" x14ac:dyDescent="0.25">
      <c r="B102" s="51" t="s">
        <v>1</v>
      </c>
      <c r="C102" s="103"/>
      <c r="D102" s="104"/>
      <c r="E102" s="104" t="e">
        <f t="shared" si="19"/>
        <v>#REF!</v>
      </c>
      <c r="F102" s="104" t="e">
        <f t="shared" si="19"/>
        <v>#REF!</v>
      </c>
      <c r="G102" s="104" t="e">
        <f t="shared" si="19"/>
        <v>#REF!</v>
      </c>
      <c r="H102" s="104">
        <v>58.704989308210209</v>
      </c>
      <c r="I102" s="104">
        <v>38.674684138349022</v>
      </c>
      <c r="J102" s="104">
        <v>-6.7245260900763419</v>
      </c>
      <c r="K102" s="104">
        <v>2.6683133809559769</v>
      </c>
      <c r="L102" s="104">
        <v>-4.7415125535160021</v>
      </c>
      <c r="M102" s="105">
        <v>-15.277293642985052</v>
      </c>
    </row>
    <row r="103" spans="2:13" x14ac:dyDescent="0.25">
      <c r="B103" s="51" t="s">
        <v>2</v>
      </c>
      <c r="C103" s="103"/>
      <c r="D103" s="104"/>
      <c r="E103" s="104" t="e">
        <f t="shared" si="19"/>
        <v>#REF!</v>
      </c>
      <c r="F103" s="104" t="e">
        <f t="shared" si="19"/>
        <v>#REF!</v>
      </c>
      <c r="G103" s="104" t="e">
        <f t="shared" si="19"/>
        <v>#REF!</v>
      </c>
      <c r="H103" s="104">
        <v>0</v>
      </c>
      <c r="I103" s="104">
        <v>-6.1569502553976907</v>
      </c>
      <c r="J103" s="104">
        <v>0.37417483628198045</v>
      </c>
      <c r="K103" s="104">
        <v>0</v>
      </c>
      <c r="L103" s="104">
        <v>4.5603097544797748</v>
      </c>
      <c r="M103" s="105">
        <v>0</v>
      </c>
    </row>
    <row r="104" spans="2:13" x14ac:dyDescent="0.25">
      <c r="B104" s="51" t="s">
        <v>3</v>
      </c>
      <c r="C104" s="103"/>
      <c r="D104" s="104"/>
      <c r="E104" s="104" t="e">
        <f t="shared" si="19"/>
        <v>#REF!</v>
      </c>
      <c r="F104" s="104" t="e">
        <f t="shared" si="19"/>
        <v>#REF!</v>
      </c>
      <c r="G104" s="104" t="e">
        <f t="shared" si="19"/>
        <v>#REF!</v>
      </c>
      <c r="H104" s="104">
        <v>-28.39984915471473</v>
      </c>
      <c r="I104" s="104">
        <v>3.4010618237562165</v>
      </c>
      <c r="J104" s="104">
        <v>18.651387903834586</v>
      </c>
      <c r="K104" s="104">
        <v>34.881079543340896</v>
      </c>
      <c r="L104" s="104">
        <v>18.728118015359051</v>
      </c>
      <c r="M104" s="105">
        <v>-9.0298963285809322</v>
      </c>
    </row>
    <row r="105" spans="2:13" x14ac:dyDescent="0.25">
      <c r="B105" s="51" t="s">
        <v>4</v>
      </c>
      <c r="C105" s="103"/>
      <c r="D105" s="104"/>
      <c r="E105" s="104" t="e">
        <f t="shared" si="19"/>
        <v>#REF!</v>
      </c>
      <c r="F105" s="104" t="e">
        <f t="shared" si="19"/>
        <v>#REF!</v>
      </c>
      <c r="G105" s="104" t="e">
        <f t="shared" si="19"/>
        <v>#REF!</v>
      </c>
      <c r="H105" s="104">
        <v>-23.781521636812926</v>
      </c>
      <c r="I105" s="104">
        <v>49.157763063965675</v>
      </c>
      <c r="J105" s="104">
        <v>16.830764915446814</v>
      </c>
      <c r="K105" s="104">
        <v>13.908541436367871</v>
      </c>
      <c r="L105" s="104">
        <v>-8.5504682284287341</v>
      </c>
      <c r="M105" s="105">
        <v>-10.740391366700454</v>
      </c>
    </row>
    <row r="106" spans="2:13" x14ac:dyDescent="0.25">
      <c r="B106" s="51" t="s">
        <v>36</v>
      </c>
      <c r="C106" s="103"/>
      <c r="D106" s="104"/>
      <c r="E106" s="104" t="e">
        <f t="shared" si="19"/>
        <v>#REF!</v>
      </c>
      <c r="F106" s="104" t="e">
        <f t="shared" si="19"/>
        <v>#REF!</v>
      </c>
      <c r="G106" s="104" t="e">
        <f t="shared" si="19"/>
        <v>#REF!</v>
      </c>
      <c r="H106" s="104">
        <v>33.001616097963641</v>
      </c>
      <c r="I106" s="104">
        <v>-6.5838093604689663</v>
      </c>
      <c r="J106" s="104">
        <v>8.6463251315389087</v>
      </c>
      <c r="K106" s="104">
        <v>-0.21368424780938963</v>
      </c>
      <c r="L106" s="104">
        <v>12.323808664288132</v>
      </c>
      <c r="M106" s="105">
        <v>8.0154834919849076</v>
      </c>
    </row>
    <row r="107" spans="2:13" x14ac:dyDescent="0.25">
      <c r="B107" s="51" t="s">
        <v>12</v>
      </c>
      <c r="C107" s="103"/>
      <c r="D107" s="104"/>
      <c r="E107" s="104" t="e">
        <f t="shared" ref="E107:M107" si="20">((E44-D44)/D44)*100</f>
        <v>#REF!</v>
      </c>
      <c r="F107" s="104" t="e">
        <f t="shared" si="20"/>
        <v>#REF!</v>
      </c>
      <c r="G107" s="104" t="e">
        <f t="shared" si="20"/>
        <v>#REF!</v>
      </c>
      <c r="H107" s="104">
        <v>-4.999390319173731</v>
      </c>
      <c r="I107" s="104">
        <v>12.062621738599974</v>
      </c>
      <c r="J107" s="104">
        <v>12.823287812663859</v>
      </c>
      <c r="K107" s="104">
        <v>13.65008344584864</v>
      </c>
      <c r="L107" s="104">
        <v>6.3770870272487983</v>
      </c>
      <c r="M107" s="105">
        <v>-4.3456668845551372</v>
      </c>
    </row>
    <row r="108" spans="2:13" x14ac:dyDescent="0.25">
      <c r="B108" s="51" t="s">
        <v>37</v>
      </c>
      <c r="C108" s="103"/>
      <c r="D108" s="104"/>
      <c r="E108" s="104" t="e">
        <f t="shared" ref="E108:M109" si="21">((E46-D46)/D46)*100</f>
        <v>#REF!</v>
      </c>
      <c r="F108" s="104" t="e">
        <f t="shared" si="21"/>
        <v>#REF!</v>
      </c>
      <c r="G108" s="104" t="e">
        <f t="shared" si="21"/>
        <v>#REF!</v>
      </c>
      <c r="H108" s="104">
        <v>10.198654544318499</v>
      </c>
      <c r="I108" s="104">
        <v>8.0385015888963451</v>
      </c>
      <c r="J108" s="104">
        <v>13.535183334586812</v>
      </c>
      <c r="K108" s="104">
        <v>-3.4184223371015605</v>
      </c>
      <c r="L108" s="104">
        <v>2.4432252530251586</v>
      </c>
      <c r="M108" s="105">
        <v>11.104038358363507</v>
      </c>
    </row>
    <row r="109" spans="2:13" x14ac:dyDescent="0.25">
      <c r="B109" s="51" t="s">
        <v>64</v>
      </c>
      <c r="C109" s="103"/>
      <c r="D109" s="104"/>
      <c r="E109" s="104" t="e">
        <f t="shared" si="21"/>
        <v>#REF!</v>
      </c>
      <c r="F109" s="104" t="e">
        <f t="shared" si="21"/>
        <v>#REF!</v>
      </c>
      <c r="G109" s="104" t="e">
        <f t="shared" si="21"/>
        <v>#REF!</v>
      </c>
      <c r="H109" s="104">
        <v>71.066058460558367</v>
      </c>
      <c r="I109" s="104">
        <v>8.7466845532252862</v>
      </c>
      <c r="J109" s="104">
        <v>-0.75035459772931379</v>
      </c>
      <c r="K109" s="104">
        <v>10.337847380470324</v>
      </c>
      <c r="L109" s="104">
        <v>1.0332442776172355</v>
      </c>
      <c r="M109" s="105">
        <v>18.542676604354195</v>
      </c>
    </row>
    <row r="110" spans="2:13" x14ac:dyDescent="0.25">
      <c r="B110" s="51" t="s">
        <v>24</v>
      </c>
      <c r="C110" s="103"/>
      <c r="D110" s="104"/>
      <c r="E110" s="104" t="e">
        <f t="shared" ref="E110:M114" si="22">((E49-D49)/D49)*100</f>
        <v>#REF!</v>
      </c>
      <c r="F110" s="104" t="e">
        <f t="shared" si="22"/>
        <v>#REF!</v>
      </c>
      <c r="G110" s="104" t="e">
        <f t="shared" si="22"/>
        <v>#REF!</v>
      </c>
      <c r="H110" s="104">
        <v>-53.26305108113295</v>
      </c>
      <c r="I110" s="104">
        <v>70.199994380886551</v>
      </c>
      <c r="J110" s="104">
        <v>56.771416468329228</v>
      </c>
      <c r="K110" s="104">
        <v>52.388938391491926</v>
      </c>
      <c r="L110" s="104">
        <v>27.282187914583446</v>
      </c>
      <c r="M110" s="105">
        <v>-37.117680036534146</v>
      </c>
    </row>
    <row r="111" spans="2:13" x14ac:dyDescent="0.25">
      <c r="B111" s="51" t="s">
        <v>25</v>
      </c>
      <c r="C111" s="103"/>
      <c r="D111" s="104"/>
      <c r="E111" s="104" t="e">
        <f t="shared" si="22"/>
        <v>#REF!</v>
      </c>
      <c r="F111" s="104" t="e">
        <f t="shared" si="22"/>
        <v>#REF!</v>
      </c>
      <c r="G111" s="104" t="e">
        <f t="shared" si="22"/>
        <v>#REF!</v>
      </c>
      <c r="H111" s="104">
        <v>-57.854911607983617</v>
      </c>
      <c r="I111" s="104">
        <v>65.4346412515238</v>
      </c>
      <c r="J111" s="104">
        <v>-4.9061825214659782</v>
      </c>
      <c r="K111" s="104">
        <v>111.87520413997515</v>
      </c>
      <c r="L111" s="104">
        <v>27.172394025077836</v>
      </c>
      <c r="M111" s="105">
        <v>-35.036650615409513</v>
      </c>
    </row>
    <row r="112" spans="2:13" x14ac:dyDescent="0.25">
      <c r="B112" s="51" t="s">
        <v>6</v>
      </c>
      <c r="C112" s="103"/>
      <c r="D112" s="104"/>
      <c r="E112" s="104" t="e">
        <f t="shared" si="22"/>
        <v>#REF!</v>
      </c>
      <c r="F112" s="104" t="e">
        <f t="shared" si="22"/>
        <v>#REF!</v>
      </c>
      <c r="G112" s="104" t="e">
        <f t="shared" si="22"/>
        <v>#REF!</v>
      </c>
      <c r="H112" s="104">
        <v>-6.3976932759451879</v>
      </c>
      <c r="I112" s="104">
        <v>-21.245484003028736</v>
      </c>
      <c r="J112" s="104">
        <v>0.2848124394986904</v>
      </c>
      <c r="K112" s="104">
        <v>-40.27419846915506</v>
      </c>
      <c r="L112" s="104">
        <v>16.022727882110075</v>
      </c>
      <c r="M112" s="105">
        <v>42.327309054118224</v>
      </c>
    </row>
    <row r="113" spans="2:13" x14ac:dyDescent="0.25">
      <c r="B113" s="51" t="s">
        <v>19</v>
      </c>
      <c r="C113" s="103"/>
      <c r="D113" s="104"/>
      <c r="E113" s="104" t="e">
        <f t="shared" si="22"/>
        <v>#REF!</v>
      </c>
      <c r="F113" s="104" t="e">
        <f t="shared" si="22"/>
        <v>#REF!</v>
      </c>
      <c r="G113" s="104" t="e">
        <f t="shared" si="22"/>
        <v>#REF!</v>
      </c>
      <c r="H113" s="104">
        <v>-37.064679434062128</v>
      </c>
      <c r="I113" s="104">
        <v>-2.0800286383313571</v>
      </c>
      <c r="J113" s="104">
        <v>29.628903235729918</v>
      </c>
      <c r="K113" s="104">
        <v>9.9949144590787729</v>
      </c>
      <c r="L113" s="104">
        <v>-100</v>
      </c>
      <c r="M113" s="105" t="s">
        <v>161</v>
      </c>
    </row>
    <row r="114" spans="2:13" x14ac:dyDescent="0.25">
      <c r="B114" s="51" t="s">
        <v>26</v>
      </c>
      <c r="C114" s="103"/>
      <c r="D114" s="104"/>
      <c r="E114" s="104" t="e">
        <f t="shared" si="22"/>
        <v>#REF!</v>
      </c>
      <c r="F114" s="104" t="e">
        <f t="shared" si="22"/>
        <v>#REF!</v>
      </c>
      <c r="G114" s="104" t="e">
        <f t="shared" si="22"/>
        <v>#REF!</v>
      </c>
      <c r="H114" s="104">
        <v>-9.3948917740470872</v>
      </c>
      <c r="I114" s="104">
        <v>-10.321422342733602</v>
      </c>
      <c r="J114" s="104">
        <v>200.34307486177019</v>
      </c>
      <c r="K114" s="104">
        <v>-20.101772741792061</v>
      </c>
      <c r="L114" s="104">
        <v>-95.715588342821462</v>
      </c>
      <c r="M114" s="105">
        <v>11.499297426715044</v>
      </c>
    </row>
    <row r="115" spans="2:13" x14ac:dyDescent="0.25">
      <c r="B115" s="51" t="s">
        <v>38</v>
      </c>
      <c r="C115" s="103"/>
      <c r="D115" s="104"/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1</v>
      </c>
      <c r="M115" s="105">
        <v>2</v>
      </c>
    </row>
    <row r="116" spans="2:13" x14ac:dyDescent="0.25">
      <c r="B116" s="54" t="s">
        <v>13</v>
      </c>
      <c r="C116" s="108"/>
      <c r="D116" s="109"/>
      <c r="E116" s="109" t="e">
        <f t="shared" ref="E116:M116" si="23">((E56-D56)/D56)*100</f>
        <v>#REF!</v>
      </c>
      <c r="F116" s="109" t="e">
        <f t="shared" si="23"/>
        <v>#REF!</v>
      </c>
      <c r="G116" s="109" t="e">
        <f t="shared" si="23"/>
        <v>#REF!</v>
      </c>
      <c r="H116" s="109">
        <v>-4.9993903191737292</v>
      </c>
      <c r="I116" s="109">
        <v>12.062621738599951</v>
      </c>
      <c r="J116" s="109">
        <v>12.823287812663875</v>
      </c>
      <c r="K116" s="109">
        <v>13.650083416475264</v>
      </c>
      <c r="L116" s="109">
        <v>6.3770870547424208</v>
      </c>
      <c r="M116" s="110">
        <v>-4.3456668845551372</v>
      </c>
    </row>
    <row r="117" spans="2:13" x14ac:dyDescent="0.25">
      <c r="F117" s="52" t="s">
        <v>138</v>
      </c>
      <c r="G117" s="56"/>
      <c r="J117" s="56"/>
      <c r="K117" s="56"/>
      <c r="M117" s="56"/>
    </row>
    <row r="118" spans="2:13" x14ac:dyDescent="0.25">
      <c r="G118" s="56"/>
      <c r="J118" s="56"/>
      <c r="K118" s="56"/>
      <c r="M118" s="56"/>
    </row>
    <row r="119" spans="2:13" s="53" customFormat="1" x14ac:dyDescent="0.25">
      <c r="B119" s="59" t="s">
        <v>40</v>
      </c>
      <c r="C119" s="60">
        <v>2010</v>
      </c>
      <c r="D119" s="60">
        <v>2011</v>
      </c>
      <c r="E119" s="60">
        <v>2012</v>
      </c>
      <c r="F119" s="60">
        <v>2013</v>
      </c>
      <c r="G119" s="60">
        <v>2014</v>
      </c>
      <c r="H119" s="60">
        <v>2015</v>
      </c>
      <c r="I119" s="60">
        <v>2016</v>
      </c>
      <c r="J119" s="60">
        <v>2017</v>
      </c>
      <c r="K119" s="60">
        <v>2018</v>
      </c>
      <c r="L119" s="60">
        <v>2019</v>
      </c>
      <c r="M119" s="61">
        <v>2020</v>
      </c>
    </row>
    <row r="120" spans="2:13" x14ac:dyDescent="0.25">
      <c r="B120" s="55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3"/>
    </row>
    <row r="121" spans="2:13" s="53" customFormat="1" x14ac:dyDescent="0.25">
      <c r="B121" s="111" t="s">
        <v>41</v>
      </c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9"/>
    </row>
    <row r="122" spans="2:13" x14ac:dyDescent="0.25">
      <c r="B122" s="51" t="s">
        <v>42</v>
      </c>
      <c r="C122" s="104"/>
      <c r="D122" s="104" t="e">
        <f t="shared" ref="D122:L122" si="24">(D30/D5)*100</f>
        <v>#REF!</v>
      </c>
      <c r="E122" s="104" t="e">
        <f t="shared" si="24"/>
        <v>#REF!</v>
      </c>
      <c r="F122" s="104" t="e">
        <f t="shared" si="24"/>
        <v>#REF!</v>
      </c>
      <c r="G122" s="104" t="e">
        <f t="shared" si="24"/>
        <v>#REF!</v>
      </c>
      <c r="H122" s="104">
        <v>5.3561863111639516</v>
      </c>
      <c r="I122" s="104">
        <v>5.7309638218056422</v>
      </c>
      <c r="J122" s="104">
        <v>7.4934462337585277</v>
      </c>
      <c r="K122" s="104">
        <v>5.6780857016918995</v>
      </c>
      <c r="L122" s="104">
        <v>4.2579322226211485</v>
      </c>
      <c r="M122" s="105">
        <v>6.3135787666227117</v>
      </c>
    </row>
    <row r="123" spans="2:13" x14ac:dyDescent="0.25">
      <c r="B123" s="51" t="s">
        <v>43</v>
      </c>
      <c r="C123" s="104"/>
      <c r="D123" s="104" t="e">
        <f t="shared" ref="D123:L123" si="25">(D5/D44)*100</f>
        <v>#REF!</v>
      </c>
      <c r="E123" s="104" t="e">
        <f t="shared" si="25"/>
        <v>#REF!</v>
      </c>
      <c r="F123" s="104" t="e">
        <f t="shared" si="25"/>
        <v>#REF!</v>
      </c>
      <c r="G123" s="104" t="e">
        <f t="shared" si="25"/>
        <v>#REF!</v>
      </c>
      <c r="H123" s="104">
        <v>142.98838313215765</v>
      </c>
      <c r="I123" s="104">
        <v>101.64036018593588</v>
      </c>
      <c r="J123" s="104">
        <v>113.00843741444496</v>
      </c>
      <c r="K123" s="104">
        <v>102.11004671384754</v>
      </c>
      <c r="L123" s="104">
        <v>107.06472534026472</v>
      </c>
      <c r="M123" s="105">
        <v>138.04497078966099</v>
      </c>
    </row>
    <row r="124" spans="2:13" x14ac:dyDescent="0.25">
      <c r="B124" s="51" t="s">
        <v>160</v>
      </c>
      <c r="C124" s="104"/>
      <c r="D124" s="104" t="e">
        <f t="shared" ref="D124:G124" si="26">(D44/D46)*100</f>
        <v>#REF!</v>
      </c>
      <c r="E124" s="104" t="e">
        <f t="shared" si="26"/>
        <v>#REF!</v>
      </c>
      <c r="F124" s="104" t="e">
        <f t="shared" si="26"/>
        <v>#REF!</v>
      </c>
      <c r="G124" s="104" t="e">
        <f t="shared" si="26"/>
        <v>#REF!</v>
      </c>
      <c r="H124" s="104">
        <v>1.8323494858886413</v>
      </c>
      <c r="I124" s="104">
        <v>1.9005991781652083</v>
      </c>
      <c r="J124" s="104">
        <v>1.8886819204115575</v>
      </c>
      <c r="K124" s="104">
        <v>2.2224617059646143</v>
      </c>
      <c r="L124" s="104">
        <v>2.3078051450078116</v>
      </c>
      <c r="M124" s="105">
        <v>1.9868905340243861</v>
      </c>
    </row>
    <row r="125" spans="2:13" x14ac:dyDescent="0.25">
      <c r="B125" s="51" t="s">
        <v>44</v>
      </c>
      <c r="C125" s="104"/>
      <c r="D125" s="104" t="e">
        <f t="shared" ref="D125:L125" si="27">(D30/D46)*100</f>
        <v>#REF!</v>
      </c>
      <c r="E125" s="104" t="e">
        <f t="shared" si="27"/>
        <v>#REF!</v>
      </c>
      <c r="F125" s="104" t="e">
        <f t="shared" si="27"/>
        <v>#REF!</v>
      </c>
      <c r="G125" s="104" t="e">
        <f t="shared" si="27"/>
        <v>#REF!</v>
      </c>
      <c r="H125" s="104">
        <v>14.033459357541114</v>
      </c>
      <c r="I125" s="104">
        <v>11.07093751035446</v>
      </c>
      <c r="J125" s="104">
        <v>15.993786283328998</v>
      </c>
      <c r="K125" s="104">
        <v>12.885601751711748</v>
      </c>
      <c r="L125" s="104">
        <v>10.520691564042444</v>
      </c>
      <c r="M125" s="105">
        <v>17.316899355554064</v>
      </c>
    </row>
    <row r="126" spans="2:13" x14ac:dyDescent="0.25">
      <c r="B126" s="51" t="s">
        <v>45</v>
      </c>
      <c r="C126" s="104"/>
      <c r="D126" s="104" t="e">
        <f t="shared" ref="D126:L126" si="28">(D30/D44)*100</f>
        <v>#REF!</v>
      </c>
      <c r="E126" s="104" t="e">
        <f t="shared" si="28"/>
        <v>#REF!</v>
      </c>
      <c r="F126" s="104" t="e">
        <f t="shared" si="28"/>
        <v>#REF!</v>
      </c>
      <c r="G126" s="104" t="e">
        <f t="shared" si="28"/>
        <v>#REF!</v>
      </c>
      <c r="H126" s="104">
        <v>7.6587242038792924</v>
      </c>
      <c r="I126" s="104">
        <v>5.8249722706089306</v>
      </c>
      <c r="J126" s="104">
        <v>8.4682264972620871</v>
      </c>
      <c r="K126" s="104">
        <v>5.7978959624498962</v>
      </c>
      <c r="L126" s="104">
        <v>4.5587434393239619</v>
      </c>
      <c r="M126" s="105">
        <v>8.7155779641665578</v>
      </c>
    </row>
    <row r="127" spans="2:13" x14ac:dyDescent="0.25">
      <c r="B127" s="51" t="s">
        <v>46</v>
      </c>
      <c r="C127" s="104"/>
      <c r="D127" s="104" t="e">
        <f t="shared" ref="D127:L127" si="29">((-(D9+D10+D11+D12+D13+D14+D15+D16+D17+D21+D22+D23))/D7)*100</f>
        <v>#REF!</v>
      </c>
      <c r="E127" s="104" t="e">
        <f t="shared" si="29"/>
        <v>#REF!</v>
      </c>
      <c r="F127" s="104" t="e">
        <f t="shared" si="29"/>
        <v>#REF!</v>
      </c>
      <c r="G127" s="104" t="e">
        <f t="shared" si="29"/>
        <v>#REF!</v>
      </c>
      <c r="H127" s="104">
        <v>91.064207062496138</v>
      </c>
      <c r="I127" s="104">
        <v>92.144211839569437</v>
      </c>
      <c r="J127" s="104">
        <v>90.241706812338336</v>
      </c>
      <c r="K127" s="104">
        <v>95.713003393919763</v>
      </c>
      <c r="L127" s="104">
        <v>94.414824357260912</v>
      </c>
      <c r="M127" s="105">
        <v>91.356384471587134</v>
      </c>
    </row>
    <row r="128" spans="2:13" x14ac:dyDescent="0.25">
      <c r="B128" s="51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5"/>
    </row>
    <row r="129" spans="2:13" s="53" customFormat="1" x14ac:dyDescent="0.25">
      <c r="B129" s="111" t="s">
        <v>47</v>
      </c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9"/>
    </row>
    <row r="130" spans="2:13" x14ac:dyDescent="0.25">
      <c r="B130" s="51" t="s">
        <v>48</v>
      </c>
      <c r="C130" s="104"/>
      <c r="D130" s="104" t="e">
        <f>(#REF!/#REF!)*100</f>
        <v>#REF!</v>
      </c>
      <c r="E130" s="104" t="e">
        <f>(#REF!/#REF!)*100</f>
        <v>#REF!</v>
      </c>
      <c r="F130" s="104" t="e">
        <f>(#REF!/#REF!)*100</f>
        <v>#REF!</v>
      </c>
      <c r="G130" s="104" t="e">
        <f>(#REF!/#REF!)*100</f>
        <v>#REF!</v>
      </c>
      <c r="H130" s="62">
        <v>191.44883157865516</v>
      </c>
      <c r="I130" s="62">
        <v>195.0242830033676</v>
      </c>
      <c r="J130" s="62">
        <v>190.95869077350196</v>
      </c>
      <c r="K130" s="62">
        <v>162.57401743972534</v>
      </c>
      <c r="L130" s="62">
        <v>150.47563801464821</v>
      </c>
      <c r="M130" s="63">
        <v>189.93743340123916</v>
      </c>
    </row>
    <row r="131" spans="2:13" x14ac:dyDescent="0.25">
      <c r="B131" s="51" t="s">
        <v>49</v>
      </c>
      <c r="C131" s="104"/>
      <c r="D131" s="104" t="e">
        <f>(#REF!/#REF!)*100</f>
        <v>#REF!</v>
      </c>
      <c r="E131" s="104" t="e">
        <f>(#REF!/#REF!)*100</f>
        <v>#REF!</v>
      </c>
      <c r="F131" s="104" t="e">
        <f>(#REF!/#REF!)*100</f>
        <v>#REF!</v>
      </c>
      <c r="G131" s="104" t="e">
        <f>(#REF!/#REF!)*100</f>
        <v>#REF!</v>
      </c>
      <c r="H131" s="62">
        <v>50.715051973742064</v>
      </c>
      <c r="I131" s="62">
        <v>56.576896167593446</v>
      </c>
      <c r="J131" s="62">
        <v>58.984932594661224</v>
      </c>
      <c r="K131" s="62">
        <v>63.910711741077243</v>
      </c>
      <c r="L131" s="62">
        <v>62.844705141883139</v>
      </c>
      <c r="M131" s="63">
        <v>59.258428732974934</v>
      </c>
    </row>
    <row r="132" spans="2:13" x14ac:dyDescent="0.25">
      <c r="B132" s="51" t="s">
        <v>50</v>
      </c>
      <c r="C132" s="104"/>
      <c r="D132" s="104" t="e">
        <f t="shared" ref="D132:L132" si="30">D40/(-D10/360)</f>
        <v>#REF!</v>
      </c>
      <c r="E132" s="104" t="e">
        <f t="shared" si="30"/>
        <v>#REF!</v>
      </c>
      <c r="F132" s="104" t="e">
        <f t="shared" si="30"/>
        <v>#REF!</v>
      </c>
      <c r="G132" s="104" t="e">
        <f t="shared" si="30"/>
        <v>#REF!</v>
      </c>
      <c r="H132" s="62">
        <v>196.1975342555819</v>
      </c>
      <c r="I132" s="62">
        <v>211.42957261678279</v>
      </c>
      <c r="J132" s="62">
        <v>187.4781757402495</v>
      </c>
      <c r="K132" s="62">
        <v>198.7325085479047</v>
      </c>
      <c r="L132" s="62">
        <v>307.11313514604609</v>
      </c>
      <c r="M132" s="63">
        <v>246.56290261502622</v>
      </c>
    </row>
    <row r="133" spans="2:13" x14ac:dyDescent="0.25">
      <c r="B133" s="51" t="s">
        <v>51</v>
      </c>
      <c r="C133" s="112"/>
      <c r="D133" s="112" t="e">
        <f t="shared" ref="D133:L133" si="31">-D10/D40</f>
        <v>#REF!</v>
      </c>
      <c r="E133" s="112" t="e">
        <f t="shared" si="31"/>
        <v>#REF!</v>
      </c>
      <c r="F133" s="112" t="e">
        <f t="shared" si="31"/>
        <v>#REF!</v>
      </c>
      <c r="G133" s="112" t="e">
        <f t="shared" si="31"/>
        <v>#REF!</v>
      </c>
      <c r="H133" s="112">
        <v>1.8348854452525203</v>
      </c>
      <c r="I133" s="112">
        <v>1.7026946398482388</v>
      </c>
      <c r="J133" s="112">
        <v>1.9202235064351119</v>
      </c>
      <c r="K133" s="112">
        <v>1.8114801782075911</v>
      </c>
      <c r="L133" s="112">
        <v>1.1722064568446537</v>
      </c>
      <c r="M133" s="113">
        <v>1.460073661454619</v>
      </c>
    </row>
    <row r="134" spans="2:13" x14ac:dyDescent="0.25">
      <c r="B134" s="51" t="s">
        <v>157</v>
      </c>
      <c r="C134" s="104"/>
      <c r="D134" s="104" t="e">
        <f>(#REF!/(D5*1.18))*360/1000</f>
        <v>#REF!</v>
      </c>
      <c r="E134" s="104" t="e">
        <f>(#REF!/(E5*1.18))*360/1000</f>
        <v>#REF!</v>
      </c>
      <c r="F134" s="104" t="e">
        <f>(#REF!/(F5*1.18))*360/1000</f>
        <v>#REF!</v>
      </c>
      <c r="G134" s="104" t="e">
        <f>(#REF!/(G5*1.18))*360/1000</f>
        <v>#REF!</v>
      </c>
      <c r="H134" s="62">
        <v>42.023994287613029</v>
      </c>
      <c r="I134" s="62">
        <v>91.271929075461912</v>
      </c>
      <c r="J134" s="62">
        <v>80.324137427845073</v>
      </c>
      <c r="K134" s="62">
        <v>89.776773474470573</v>
      </c>
      <c r="L134" s="62">
        <v>72.515969632773277</v>
      </c>
      <c r="M134" s="63">
        <v>52.435615146471321</v>
      </c>
    </row>
    <row r="135" spans="2:13" x14ac:dyDescent="0.25">
      <c r="B135" s="51" t="s">
        <v>158</v>
      </c>
      <c r="C135" s="104"/>
      <c r="D135" s="104" t="e">
        <f>(D50/((-D9-D11-D13-D14-D16-D12)*1.18))*360/1000</f>
        <v>#REF!</v>
      </c>
      <c r="E135" s="104" t="e">
        <f>(E50/((-E9-E11-E13-E14-E16-E12)*1.18))*360/1000</f>
        <v>#REF!</v>
      </c>
      <c r="F135" s="104" t="e">
        <f>(F50/((-F9-F11-F13-F14-F16-F12)*1.18))*360/1000</f>
        <v>#REF!</v>
      </c>
      <c r="G135" s="104" t="e">
        <f>(G50/((-G9-G11-G13-G14-G16-G12)*1.18))*360/1000</f>
        <v>#REF!</v>
      </c>
      <c r="H135" s="62">
        <v>37.533841148787779</v>
      </c>
      <c r="I135" s="62">
        <v>87.607710260522964</v>
      </c>
      <c r="J135" s="62">
        <v>73.123720389183148</v>
      </c>
      <c r="K135" s="62">
        <v>180.91097246212624</v>
      </c>
      <c r="L135" s="62">
        <v>140.41037170140854</v>
      </c>
      <c r="M135" s="63">
        <v>76.969780322699847</v>
      </c>
    </row>
    <row r="136" spans="2:13" x14ac:dyDescent="0.25">
      <c r="B136" s="51"/>
      <c r="C136" s="112"/>
      <c r="D136" s="112"/>
      <c r="E136" s="112"/>
      <c r="F136" s="112"/>
      <c r="G136" s="104"/>
      <c r="H136" s="104"/>
      <c r="I136" s="104"/>
      <c r="J136" s="104"/>
      <c r="K136" s="104"/>
      <c r="L136" s="104"/>
      <c r="M136" s="105"/>
    </row>
    <row r="137" spans="2:13" s="53" customFormat="1" x14ac:dyDescent="0.25">
      <c r="B137" s="111" t="s">
        <v>52</v>
      </c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9"/>
    </row>
    <row r="138" spans="2:13" x14ac:dyDescent="0.25">
      <c r="B138" s="55" t="s">
        <v>155</v>
      </c>
      <c r="C138" s="104"/>
      <c r="D138" s="114" t="e">
        <f t="shared" ref="D138:L138" si="32">(D47+D54)/D46*100</f>
        <v>#REF!</v>
      </c>
      <c r="E138" s="114" t="e">
        <f t="shared" si="32"/>
        <v>#REF!</v>
      </c>
      <c r="F138" s="114" t="e">
        <f t="shared" si="32"/>
        <v>#REF!</v>
      </c>
      <c r="G138" s="114" t="e">
        <f t="shared" si="32"/>
        <v>#REF!</v>
      </c>
      <c r="H138" s="114">
        <v>34.695765223452256</v>
      </c>
      <c r="I138" s="114">
        <v>34.923192941388429</v>
      </c>
      <c r="J138" s="114">
        <v>30.52899034419389</v>
      </c>
      <c r="K138" s="114">
        <v>34.877283626849668</v>
      </c>
      <c r="L138" s="114">
        <v>34.397248892817203</v>
      </c>
      <c r="M138" s="115">
        <v>36.700213708062456</v>
      </c>
    </row>
    <row r="139" spans="2:13" x14ac:dyDescent="0.25">
      <c r="B139" s="55" t="s">
        <v>136</v>
      </c>
      <c r="C139" s="104"/>
      <c r="D139" s="104"/>
      <c r="E139" s="104" t="e">
        <f t="shared" ref="E139:M139" si="33">E66/-D30*100</f>
        <v>#REF!</v>
      </c>
      <c r="F139" s="104" t="e">
        <f t="shared" si="33"/>
        <v>#REF!</v>
      </c>
      <c r="G139" s="104" t="e">
        <f t="shared" si="33"/>
        <v>#REF!</v>
      </c>
      <c r="H139" s="104">
        <v>23.485815811914307</v>
      </c>
      <c r="I139" s="104">
        <v>28.143535941311175</v>
      </c>
      <c r="J139" s="104">
        <v>55.033761810158644</v>
      </c>
      <c r="K139" s="104">
        <v>67.105404579564009</v>
      </c>
      <c r="L139" s="104">
        <v>64.680801600869728</v>
      </c>
      <c r="M139" s="105">
        <v>77.278560835060134</v>
      </c>
    </row>
    <row r="140" spans="2:13" x14ac:dyDescent="0.25">
      <c r="B140" s="55" t="s">
        <v>53</v>
      </c>
      <c r="C140" s="103"/>
      <c r="D140" s="103" t="s">
        <v>142</v>
      </c>
      <c r="E140" s="103" t="s">
        <v>142</v>
      </c>
      <c r="F140" s="103" t="s">
        <v>142</v>
      </c>
      <c r="G140" s="103" t="s">
        <v>142</v>
      </c>
      <c r="H140" s="103" t="s">
        <v>142</v>
      </c>
      <c r="I140" s="103" t="s">
        <v>142</v>
      </c>
      <c r="J140" s="103" t="s">
        <v>142</v>
      </c>
      <c r="K140" s="103">
        <v>1702.3543488846683</v>
      </c>
      <c r="L140" s="103">
        <v>974.44774676737336</v>
      </c>
      <c r="M140" s="116">
        <v>241.43446357583835</v>
      </c>
    </row>
    <row r="141" spans="2:13" x14ac:dyDescent="0.25">
      <c r="B141" s="57" t="s">
        <v>156</v>
      </c>
      <c r="C141" s="109"/>
      <c r="D141" s="109" t="e">
        <f t="shared" ref="D141:K141" si="34">(D47+D54)/D18</f>
        <v>#REF!</v>
      </c>
      <c r="E141" s="109" t="e">
        <f t="shared" si="34"/>
        <v>#REF!</v>
      </c>
      <c r="F141" s="109" t="e">
        <f t="shared" si="34"/>
        <v>#REF!</v>
      </c>
      <c r="G141" s="109" t="e">
        <f t="shared" si="34"/>
        <v>#REF!</v>
      </c>
      <c r="H141" s="109">
        <v>0.84922230573187651</v>
      </c>
      <c r="I141" s="109">
        <v>1.661764650477785</v>
      </c>
      <c r="J141" s="109">
        <v>1.2851819159074087</v>
      </c>
      <c r="K141" s="109">
        <v>2.2538948104990251</v>
      </c>
      <c r="L141" s="109">
        <v>1.9723035731818952</v>
      </c>
      <c r="M141" s="110">
        <v>1.126796039005868</v>
      </c>
    </row>
    <row r="142" spans="2:13" x14ac:dyDescent="0.25">
      <c r="J142" s="56"/>
      <c r="K142" s="56"/>
    </row>
    <row r="144" spans="2:13" x14ac:dyDescent="0.25">
      <c r="B144" s="117" t="s">
        <v>54</v>
      </c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9"/>
    </row>
    <row r="145" spans="2:13" x14ac:dyDescent="0.25">
      <c r="B145" s="120" t="s">
        <v>65</v>
      </c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2"/>
    </row>
    <row r="146" spans="2:13" x14ac:dyDescent="0.25">
      <c r="B146" s="120" t="s">
        <v>55</v>
      </c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2"/>
    </row>
    <row r="147" spans="2:13" x14ac:dyDescent="0.25">
      <c r="B147" s="120" t="s">
        <v>56</v>
      </c>
      <c r="C147" s="121"/>
      <c r="D147" s="121"/>
      <c r="E147" s="121"/>
      <c r="F147" s="121"/>
      <c r="G147" s="121"/>
      <c r="H147" s="121"/>
      <c r="I147" s="121"/>
      <c r="J147" s="121"/>
      <c r="K147" s="121"/>
      <c r="L147" s="121"/>
      <c r="M147" s="122"/>
    </row>
    <row r="148" spans="2:13" x14ac:dyDescent="0.25">
      <c r="B148" s="120" t="s">
        <v>57</v>
      </c>
      <c r="C148" s="121"/>
      <c r="D148" s="121"/>
      <c r="E148" s="121"/>
      <c r="F148" s="121"/>
      <c r="G148" s="121"/>
      <c r="H148" s="121"/>
      <c r="I148" s="121"/>
      <c r="J148" s="121"/>
      <c r="K148" s="121"/>
      <c r="L148" s="121"/>
      <c r="M148" s="122"/>
    </row>
    <row r="149" spans="2:13" x14ac:dyDescent="0.25">
      <c r="B149" s="120" t="s">
        <v>58</v>
      </c>
      <c r="C149" s="121"/>
      <c r="D149" s="121"/>
      <c r="E149" s="121"/>
      <c r="F149" s="121"/>
      <c r="G149" s="121"/>
      <c r="H149" s="121"/>
      <c r="I149" s="121"/>
      <c r="J149" s="121"/>
      <c r="K149" s="121"/>
      <c r="L149" s="121"/>
      <c r="M149" s="122"/>
    </row>
    <row r="150" spans="2:13" x14ac:dyDescent="0.25">
      <c r="B150" s="120" t="s">
        <v>59</v>
      </c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2"/>
    </row>
    <row r="151" spans="2:13" x14ac:dyDescent="0.25">
      <c r="B151" s="120" t="s">
        <v>60</v>
      </c>
      <c r="C151" s="121"/>
      <c r="D151" s="121"/>
      <c r="E151" s="121"/>
      <c r="F151" s="121"/>
      <c r="G151" s="121"/>
      <c r="H151" s="121"/>
      <c r="I151" s="121"/>
      <c r="J151" s="121"/>
      <c r="K151" s="121"/>
      <c r="L151" s="121"/>
      <c r="M151" s="122"/>
    </row>
    <row r="152" spans="2:13" x14ac:dyDescent="0.25">
      <c r="B152" s="120" t="s">
        <v>61</v>
      </c>
      <c r="C152" s="121"/>
      <c r="D152" s="121"/>
      <c r="E152" s="121"/>
      <c r="F152" s="121"/>
      <c r="G152" s="121"/>
      <c r="H152" s="121"/>
      <c r="I152" s="121"/>
      <c r="J152" s="121"/>
      <c r="K152" s="121"/>
      <c r="L152" s="121"/>
      <c r="M152" s="122"/>
    </row>
    <row r="153" spans="2:13" x14ac:dyDescent="0.25">
      <c r="B153" s="120" t="s">
        <v>62</v>
      </c>
      <c r="C153" s="12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2"/>
    </row>
    <row r="154" spans="2:13" x14ac:dyDescent="0.25">
      <c r="B154" s="123" t="s">
        <v>63</v>
      </c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5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M12"/>
  <sheetViews>
    <sheetView showGridLines="0" zoomScale="90" zoomScaleNormal="90" zoomScalePageLayoutView="90" workbookViewId="0">
      <selection activeCell="I5" sqref="I5"/>
    </sheetView>
  </sheetViews>
  <sheetFormatPr baseColWidth="10" defaultColWidth="11.42578125" defaultRowHeight="15" x14ac:dyDescent="0.25"/>
  <cols>
    <col min="2" max="2" width="70.42578125" style="1" customWidth="1"/>
    <col min="3" max="3" width="7.28515625" customWidth="1"/>
    <col min="4" max="4" width="11.140625" bestFit="1" customWidth="1"/>
    <col min="5" max="5" width="20.42578125" bestFit="1" customWidth="1"/>
    <col min="6" max="6" width="17.7109375" style="2" bestFit="1" customWidth="1"/>
    <col min="7" max="9" width="11.7109375" customWidth="1"/>
    <col min="10" max="11" width="10.140625" style="2" customWidth="1"/>
    <col min="12" max="12" width="14" bestFit="1" customWidth="1"/>
    <col min="13" max="13" width="19.28515625" bestFit="1" customWidth="1"/>
  </cols>
  <sheetData>
    <row r="1" spans="2:13" ht="15.75" thickBot="1" x14ac:dyDescent="0.3"/>
    <row r="2" spans="2:13" s="14" customFormat="1" x14ac:dyDescent="0.25">
      <c r="B2" s="15" t="s">
        <v>69</v>
      </c>
      <c r="C2" s="19" t="s">
        <v>70</v>
      </c>
      <c r="D2" s="19" t="s">
        <v>71</v>
      </c>
      <c r="E2" s="19" t="s">
        <v>72</v>
      </c>
      <c r="F2" s="19" t="s">
        <v>73</v>
      </c>
      <c r="G2" s="19" t="s">
        <v>74</v>
      </c>
      <c r="H2" s="19" t="s">
        <v>75</v>
      </c>
      <c r="I2" s="19" t="s">
        <v>76</v>
      </c>
      <c r="J2" s="19" t="s">
        <v>77</v>
      </c>
      <c r="K2" s="19" t="s">
        <v>78</v>
      </c>
      <c r="L2" s="19" t="s">
        <v>79</v>
      </c>
      <c r="M2" s="19" t="s">
        <v>80</v>
      </c>
    </row>
    <row r="3" spans="2:13" ht="3" customHeight="1" x14ac:dyDescent="0.25">
      <c r="B3" s="16"/>
      <c r="C3" s="20"/>
      <c r="D3" s="20"/>
      <c r="E3" s="20"/>
      <c r="F3" s="21"/>
      <c r="G3" s="20"/>
      <c r="H3" s="20"/>
      <c r="I3" s="20"/>
      <c r="J3" s="21"/>
      <c r="K3" s="21"/>
      <c r="L3" s="22"/>
      <c r="M3" s="22"/>
    </row>
    <row r="4" spans="2:13" s="3" customFormat="1" x14ac:dyDescent="0.25">
      <c r="B4" s="17"/>
      <c r="C4" s="23"/>
      <c r="D4" s="23"/>
      <c r="E4" s="23"/>
      <c r="F4" s="24"/>
      <c r="G4" s="23"/>
      <c r="H4" s="23"/>
      <c r="I4" s="23"/>
      <c r="J4" s="24"/>
      <c r="K4" s="24"/>
      <c r="L4" s="25"/>
      <c r="M4" s="25"/>
    </row>
    <row r="5" spans="2:13" x14ac:dyDescent="0.25">
      <c r="B5" s="16" t="s">
        <v>29</v>
      </c>
      <c r="C5" s="28">
        <v>1992</v>
      </c>
      <c r="D5" s="28">
        <v>7504</v>
      </c>
      <c r="E5" s="28">
        <v>153</v>
      </c>
      <c r="F5" s="28">
        <v>220</v>
      </c>
      <c r="G5" s="28">
        <v>3861</v>
      </c>
      <c r="H5" s="29" t="s">
        <v>82</v>
      </c>
      <c r="I5" s="28">
        <v>5618</v>
      </c>
      <c r="J5" s="28">
        <v>3900</v>
      </c>
      <c r="K5" s="28">
        <v>8143</v>
      </c>
      <c r="L5" s="28">
        <v>53563</v>
      </c>
      <c r="M5" s="28">
        <v>11145</v>
      </c>
    </row>
    <row r="6" spans="2:13" x14ac:dyDescent="0.25">
      <c r="B6" s="16" t="s">
        <v>20</v>
      </c>
      <c r="C6" s="30">
        <v>4</v>
      </c>
      <c r="D6" s="30">
        <v>319</v>
      </c>
      <c r="E6" s="30">
        <v>16</v>
      </c>
      <c r="F6" s="31">
        <v>8</v>
      </c>
      <c r="G6" s="30">
        <v>-57</v>
      </c>
      <c r="H6" s="30">
        <v>-5329</v>
      </c>
      <c r="I6" s="30">
        <v>186</v>
      </c>
      <c r="J6" s="31">
        <v>245</v>
      </c>
      <c r="K6" s="31">
        <v>462</v>
      </c>
      <c r="L6" s="32">
        <v>5144</v>
      </c>
      <c r="M6" s="32">
        <v>446</v>
      </c>
    </row>
    <row r="7" spans="2:13" s="27" customFormat="1" x14ac:dyDescent="0.25">
      <c r="B7" s="26" t="s">
        <v>14</v>
      </c>
      <c r="C7" s="33">
        <f>C6/C5</f>
        <v>2.008032128514056E-3</v>
      </c>
      <c r="D7" s="33">
        <f t="shared" ref="D7:M7" si="0">D6/D5</f>
        <v>4.2510660980810237E-2</v>
      </c>
      <c r="E7" s="33">
        <f t="shared" si="0"/>
        <v>0.10457516339869281</v>
      </c>
      <c r="F7" s="33">
        <f t="shared" si="0"/>
        <v>3.6363636363636362E-2</v>
      </c>
      <c r="G7" s="33">
        <f t="shared" si="0"/>
        <v>-1.4763014763014764E-2</v>
      </c>
      <c r="H7" s="33">
        <v>0</v>
      </c>
      <c r="I7" s="33">
        <f t="shared" si="0"/>
        <v>3.3107867568529722E-2</v>
      </c>
      <c r="J7" s="33">
        <f t="shared" si="0"/>
        <v>6.2820512820512819E-2</v>
      </c>
      <c r="K7" s="33">
        <f t="shared" si="0"/>
        <v>5.6735846739530887E-2</v>
      </c>
      <c r="L7" s="33">
        <f t="shared" si="0"/>
        <v>9.6036443067042551E-2</v>
      </c>
      <c r="M7" s="33">
        <f t="shared" si="0"/>
        <v>4.0017945266935848E-2</v>
      </c>
    </row>
    <row r="8" spans="2:13" ht="15.75" thickBot="1" x14ac:dyDescent="0.3">
      <c r="B8" s="18" t="s">
        <v>81</v>
      </c>
      <c r="C8" s="30">
        <v>2607</v>
      </c>
      <c r="D8" s="30">
        <v>5154</v>
      </c>
      <c r="E8" s="30">
        <v>149</v>
      </c>
      <c r="F8" s="31">
        <v>134</v>
      </c>
      <c r="G8" s="30">
        <v>3766</v>
      </c>
      <c r="H8" s="30">
        <v>552</v>
      </c>
      <c r="I8" s="30">
        <v>5561</v>
      </c>
      <c r="J8" s="31">
        <v>3013</v>
      </c>
      <c r="K8" s="31">
        <v>5621</v>
      </c>
      <c r="L8" s="32">
        <v>46000</v>
      </c>
      <c r="M8" s="32">
        <v>10851</v>
      </c>
    </row>
    <row r="9" spans="2:13" s="5" customFormat="1" x14ac:dyDescent="0.25">
      <c r="B9" s="7"/>
      <c r="C9" s="4"/>
      <c r="D9" s="4"/>
      <c r="E9" s="4"/>
      <c r="F9" s="8"/>
      <c r="G9" s="4"/>
      <c r="H9" s="4"/>
      <c r="I9" s="4"/>
      <c r="J9" s="8"/>
      <c r="K9" s="8"/>
      <c r="L9" s="9"/>
      <c r="M9" s="9"/>
    </row>
    <row r="10" spans="2:13" s="5" customFormat="1" x14ac:dyDescent="0.25">
      <c r="B10" s="7"/>
      <c r="C10" s="4"/>
      <c r="D10" s="4"/>
      <c r="E10" s="4"/>
      <c r="F10" s="8"/>
      <c r="G10" s="4"/>
      <c r="H10" s="4"/>
      <c r="I10" s="4"/>
      <c r="J10" s="8"/>
      <c r="K10" s="8"/>
      <c r="L10" s="9"/>
      <c r="M10" s="9"/>
    </row>
    <row r="11" spans="2:13" s="5" customFormat="1" ht="3" customHeight="1" x14ac:dyDescent="0.25">
      <c r="B11" s="7"/>
      <c r="C11" s="4"/>
      <c r="D11" s="4"/>
      <c r="E11" s="4"/>
      <c r="F11" s="8"/>
      <c r="G11" s="4"/>
      <c r="H11" s="4"/>
      <c r="I11" s="4"/>
      <c r="J11" s="8"/>
      <c r="K11" s="8"/>
      <c r="L11" s="9"/>
      <c r="M11" s="9"/>
    </row>
    <row r="12" spans="2:13" s="6" customFormat="1" ht="12" x14ac:dyDescent="0.2">
      <c r="B12" s="10"/>
      <c r="C12" s="11"/>
      <c r="D12" s="11"/>
      <c r="E12" s="11"/>
      <c r="F12" s="12"/>
      <c r="G12" s="11"/>
      <c r="H12" s="11"/>
      <c r="I12" s="11"/>
      <c r="J12" s="12"/>
      <c r="K12" s="13"/>
      <c r="L12" s="10"/>
      <c r="M12" s="10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9"/>
  <sheetViews>
    <sheetView workbookViewId="0">
      <selection activeCell="H20" sqref="H20"/>
    </sheetView>
  </sheetViews>
  <sheetFormatPr baseColWidth="10" defaultColWidth="8.7109375" defaultRowHeight="15" x14ac:dyDescent="0.25"/>
  <cols>
    <col min="1" max="1" width="42.28515625" style="34" customWidth="1"/>
    <col min="2" max="4" width="19.7109375" style="35" customWidth="1"/>
    <col min="5" max="5" width="19.7109375" style="34" customWidth="1"/>
    <col min="6" max="16384" width="8.7109375" style="34"/>
  </cols>
  <sheetData>
    <row r="1" spans="1:5" x14ac:dyDescent="0.25">
      <c r="A1" s="37" t="s">
        <v>83</v>
      </c>
    </row>
    <row r="3" spans="1:5" x14ac:dyDescent="0.25">
      <c r="A3" s="37" t="s">
        <v>84</v>
      </c>
    </row>
    <row r="4" spans="1:5" x14ac:dyDescent="0.25">
      <c r="A4" s="44" t="s">
        <v>116</v>
      </c>
    </row>
    <row r="5" spans="1:5" x14ac:dyDescent="0.25">
      <c r="A5" s="39" t="s">
        <v>94</v>
      </c>
      <c r="B5" s="40" t="s">
        <v>95</v>
      </c>
      <c r="C5" s="40" t="s">
        <v>96</v>
      </c>
      <c r="D5" s="40" t="s">
        <v>97</v>
      </c>
      <c r="E5" s="40" t="s">
        <v>98</v>
      </c>
    </row>
    <row r="6" spans="1:5" x14ac:dyDescent="0.25">
      <c r="A6" s="36" t="s">
        <v>85</v>
      </c>
      <c r="B6" s="41">
        <v>36268</v>
      </c>
      <c r="C6" s="41">
        <v>40883</v>
      </c>
      <c r="D6" s="41">
        <v>18158</v>
      </c>
      <c r="E6" s="42">
        <v>43669</v>
      </c>
    </row>
    <row r="7" spans="1:5" x14ac:dyDescent="0.25">
      <c r="A7" s="36" t="s">
        <v>86</v>
      </c>
      <c r="B7" s="41">
        <v>1420</v>
      </c>
      <c r="C7" s="41">
        <v>942</v>
      </c>
      <c r="D7" s="41">
        <v>410</v>
      </c>
      <c r="E7" s="42">
        <v>1168</v>
      </c>
    </row>
    <row r="8" spans="1:5" x14ac:dyDescent="0.25">
      <c r="A8" s="36" t="s">
        <v>87</v>
      </c>
      <c r="B8" s="41">
        <v>1652</v>
      </c>
      <c r="C8" s="41">
        <v>416</v>
      </c>
      <c r="D8" s="41">
        <v>2871</v>
      </c>
      <c r="E8" s="42">
        <v>3404</v>
      </c>
    </row>
    <row r="9" spans="1:5" x14ac:dyDescent="0.25">
      <c r="A9" s="38" t="s">
        <v>88</v>
      </c>
      <c r="B9" s="43">
        <f>SUM(B6:B8)</f>
        <v>39340</v>
      </c>
      <c r="C9" s="43">
        <f>SUM(C6:C8)</f>
        <v>42241</v>
      </c>
      <c r="D9" s="43">
        <f>SUM(D6:D8)</f>
        <v>21439</v>
      </c>
      <c r="E9" s="43">
        <f>SUM(E6:E8)</f>
        <v>48241</v>
      </c>
    </row>
    <row r="10" spans="1:5" x14ac:dyDescent="0.25">
      <c r="A10" s="36" t="s">
        <v>89</v>
      </c>
      <c r="B10" s="41">
        <v>726</v>
      </c>
      <c r="C10" s="41">
        <v>-1340</v>
      </c>
      <c r="D10" s="41">
        <v>1155</v>
      </c>
      <c r="E10" s="42">
        <v>-426</v>
      </c>
    </row>
    <row r="11" spans="1:5" x14ac:dyDescent="0.25">
      <c r="A11" s="38" t="s">
        <v>91</v>
      </c>
      <c r="B11" s="43">
        <f>B9+B10</f>
        <v>40066</v>
      </c>
      <c r="C11" s="43">
        <f>C9+C10</f>
        <v>40901</v>
      </c>
      <c r="D11" s="43">
        <f>D9+D10</f>
        <v>22594</v>
      </c>
      <c r="E11" s="43">
        <f>E9+E10</f>
        <v>47815</v>
      </c>
    </row>
    <row r="12" spans="1:5" x14ac:dyDescent="0.25">
      <c r="A12" s="36" t="s">
        <v>92</v>
      </c>
      <c r="B12" s="41">
        <v>-19798</v>
      </c>
      <c r="C12" s="41">
        <v>-19044</v>
      </c>
      <c r="D12" s="41">
        <v>-9714</v>
      </c>
      <c r="E12" s="41">
        <v>-21733</v>
      </c>
    </row>
    <row r="13" spans="1:5" x14ac:dyDescent="0.25">
      <c r="A13" s="36" t="s">
        <v>90</v>
      </c>
      <c r="B13" s="41">
        <v>-1330</v>
      </c>
      <c r="C13" s="41">
        <v>-334</v>
      </c>
      <c r="D13" s="41">
        <v>-2119</v>
      </c>
      <c r="E13" s="41">
        <v>-2641</v>
      </c>
    </row>
    <row r="14" spans="1:5" x14ac:dyDescent="0.25">
      <c r="A14" s="38" t="s">
        <v>93</v>
      </c>
      <c r="B14" s="43">
        <f>SUM(B12:B13)</f>
        <v>-21128</v>
      </c>
      <c r="C14" s="43">
        <f>SUM(C12:C13)</f>
        <v>-19378</v>
      </c>
      <c r="D14" s="43">
        <f>SUM(D12:D13)</f>
        <v>-11833</v>
      </c>
      <c r="E14" s="43">
        <f>SUM(E12:E13)</f>
        <v>-24374</v>
      </c>
    </row>
    <row r="15" spans="1:5" x14ac:dyDescent="0.25">
      <c r="A15" s="36" t="s">
        <v>99</v>
      </c>
      <c r="B15" s="41">
        <v>-4585</v>
      </c>
      <c r="C15" s="41">
        <v>-4100</v>
      </c>
      <c r="D15" s="41">
        <v>-2108</v>
      </c>
      <c r="E15" s="42">
        <v>-4554</v>
      </c>
    </row>
    <row r="16" spans="1:5" x14ac:dyDescent="0.25">
      <c r="A16" s="36" t="s">
        <v>22</v>
      </c>
      <c r="B16" s="41">
        <v>-1279</v>
      </c>
      <c r="C16" s="41">
        <v>-1226</v>
      </c>
      <c r="D16" s="41">
        <v>-679</v>
      </c>
      <c r="E16" s="42">
        <v>-1637</v>
      </c>
    </row>
    <row r="17" spans="1:5" x14ac:dyDescent="0.25">
      <c r="A17" s="36" t="s">
        <v>100</v>
      </c>
      <c r="B17" s="41">
        <v>-2984</v>
      </c>
      <c r="C17" s="41">
        <v>-3677</v>
      </c>
      <c r="D17" s="41">
        <v>-1906</v>
      </c>
      <c r="E17" s="42">
        <v>-3540</v>
      </c>
    </row>
    <row r="18" spans="1:5" x14ac:dyDescent="0.25">
      <c r="A18" s="36" t="s">
        <v>101</v>
      </c>
      <c r="B18" s="41">
        <v>-480</v>
      </c>
      <c r="C18" s="41">
        <v>-428</v>
      </c>
      <c r="D18" s="41">
        <v>-146</v>
      </c>
      <c r="E18" s="42">
        <v>-483</v>
      </c>
    </row>
    <row r="19" spans="1:5" x14ac:dyDescent="0.25">
      <c r="A19" s="36" t="s">
        <v>115</v>
      </c>
      <c r="B19" s="41">
        <v>249</v>
      </c>
      <c r="C19" s="41">
        <v>282</v>
      </c>
      <c r="D19" s="41">
        <v>60</v>
      </c>
      <c r="E19" s="42">
        <v>0</v>
      </c>
    </row>
    <row r="20" spans="1:5" x14ac:dyDescent="0.25">
      <c r="A20" s="38" t="s">
        <v>102</v>
      </c>
      <c r="B20" s="43">
        <f>B11+B14+SUM(B15:B19)</f>
        <v>9859</v>
      </c>
      <c r="C20" s="43">
        <f>C11+C14+SUM(C15:C19)</f>
        <v>12374</v>
      </c>
      <c r="D20" s="43">
        <f>D11+D14+SUM(D15:D19)</f>
        <v>5982</v>
      </c>
      <c r="E20" s="43">
        <f>E11+E14+SUM(E15:E19)</f>
        <v>13227</v>
      </c>
    </row>
    <row r="21" spans="1:5" x14ac:dyDescent="0.25">
      <c r="A21" s="36" t="s">
        <v>103</v>
      </c>
      <c r="B21" s="41">
        <v>-6577</v>
      </c>
      <c r="C21" s="41">
        <v>-6611</v>
      </c>
      <c r="D21" s="41">
        <v>-3333</v>
      </c>
      <c r="E21" s="42">
        <v>-6732</v>
      </c>
    </row>
    <row r="22" spans="1:5" x14ac:dyDescent="0.25">
      <c r="A22" s="38" t="s">
        <v>104</v>
      </c>
      <c r="B22" s="43">
        <f>B20+B21</f>
        <v>3282</v>
      </c>
      <c r="C22" s="43">
        <f>C20+C21</f>
        <v>5763</v>
      </c>
      <c r="D22" s="43">
        <f>D20+D21</f>
        <v>2649</v>
      </c>
      <c r="E22" s="43">
        <f>E20+E21</f>
        <v>6495</v>
      </c>
    </row>
    <row r="23" spans="1:5" x14ac:dyDescent="0.25">
      <c r="A23" s="36" t="s">
        <v>105</v>
      </c>
      <c r="B23" s="41">
        <f>-2014-140+79</f>
        <v>-2075</v>
      </c>
      <c r="C23" s="41">
        <f>-2149-150</f>
        <v>-2299</v>
      </c>
      <c r="D23" s="41">
        <f>-1088-77</f>
        <v>-1165</v>
      </c>
      <c r="E23" s="42">
        <f>-2360-164</f>
        <v>-2524</v>
      </c>
    </row>
    <row r="24" spans="1:5" x14ac:dyDescent="0.25">
      <c r="A24" s="38" t="s">
        <v>106</v>
      </c>
      <c r="B24" s="43">
        <f>B22+B23</f>
        <v>1207</v>
      </c>
      <c r="C24" s="43">
        <f>C22+C23</f>
        <v>3464</v>
      </c>
      <c r="D24" s="43">
        <f>D22+D23</f>
        <v>1484</v>
      </c>
      <c r="E24" s="43">
        <f>E22+E23</f>
        <v>3971</v>
      </c>
    </row>
    <row r="25" spans="1:5" x14ac:dyDescent="0.25">
      <c r="A25" s="36" t="s">
        <v>107</v>
      </c>
      <c r="B25" s="41">
        <v>-1137</v>
      </c>
      <c r="C25" s="41">
        <f>-1143+55</f>
        <v>-1088</v>
      </c>
      <c r="D25" s="41">
        <v>-293</v>
      </c>
      <c r="E25" s="42">
        <v>-831</v>
      </c>
    </row>
    <row r="26" spans="1:5" x14ac:dyDescent="0.25">
      <c r="A26" s="36" t="s">
        <v>108</v>
      </c>
      <c r="B26" s="41">
        <v>2273</v>
      </c>
      <c r="C26" s="41">
        <v>1783</v>
      </c>
      <c r="D26" s="41">
        <v>1533</v>
      </c>
      <c r="E26" s="42">
        <v>1540</v>
      </c>
    </row>
    <row r="27" spans="1:5" x14ac:dyDescent="0.25">
      <c r="A27" s="38" t="s">
        <v>109</v>
      </c>
      <c r="B27" s="43">
        <f>B25+B26</f>
        <v>1136</v>
      </c>
      <c r="C27" s="43">
        <f>C25+C26</f>
        <v>695</v>
      </c>
      <c r="D27" s="43">
        <f>D25+D26</f>
        <v>1240</v>
      </c>
      <c r="E27" s="43">
        <f>E25+E26</f>
        <v>709</v>
      </c>
    </row>
    <row r="28" spans="1:5" x14ac:dyDescent="0.25">
      <c r="A28" s="38" t="s">
        <v>110</v>
      </c>
      <c r="B28" s="43">
        <f>B24+B27</f>
        <v>2343</v>
      </c>
      <c r="C28" s="43">
        <f>C24+C27</f>
        <v>4159</v>
      </c>
      <c r="D28" s="43">
        <f>D24+D27</f>
        <v>2724</v>
      </c>
      <c r="E28" s="43">
        <f>E24+E27</f>
        <v>4680</v>
      </c>
    </row>
    <row r="29" spans="1:5" x14ac:dyDescent="0.25">
      <c r="A29" s="36" t="s">
        <v>111</v>
      </c>
      <c r="B29" s="41">
        <v>104</v>
      </c>
      <c r="C29" s="41">
        <v>-262</v>
      </c>
      <c r="D29" s="41">
        <v>-186</v>
      </c>
      <c r="E29" s="42">
        <v>10</v>
      </c>
    </row>
    <row r="30" spans="1:5" x14ac:dyDescent="0.25">
      <c r="A30" s="38" t="s">
        <v>114</v>
      </c>
      <c r="B30" s="43">
        <f>B28+B29</f>
        <v>2447</v>
      </c>
      <c r="C30" s="43">
        <f>C28+C29</f>
        <v>3897</v>
      </c>
      <c r="D30" s="43">
        <f>D28+D29</f>
        <v>2538</v>
      </c>
      <c r="E30" s="43">
        <f>E28+E29</f>
        <v>4690</v>
      </c>
    </row>
    <row r="31" spans="1:5" x14ac:dyDescent="0.25">
      <c r="A31" s="36" t="s">
        <v>112</v>
      </c>
      <c r="B31" s="41">
        <v>-35</v>
      </c>
      <c r="C31" s="41">
        <v>-35</v>
      </c>
      <c r="D31" s="41"/>
      <c r="E31" s="42">
        <v>-35</v>
      </c>
    </row>
    <row r="32" spans="1:5" x14ac:dyDescent="0.25">
      <c r="A32" s="38" t="s">
        <v>113</v>
      </c>
      <c r="B32" s="43">
        <f>B30+B31</f>
        <v>2412</v>
      </c>
      <c r="C32" s="43">
        <f>C30+C31</f>
        <v>3862</v>
      </c>
      <c r="D32" s="43">
        <f>D30+D31</f>
        <v>2538</v>
      </c>
      <c r="E32" s="43">
        <f>E30+E31</f>
        <v>4655</v>
      </c>
    </row>
    <row r="34" spans="1:5" x14ac:dyDescent="0.25">
      <c r="A34" s="44" t="s">
        <v>116</v>
      </c>
    </row>
    <row r="35" spans="1:5" x14ac:dyDescent="0.25">
      <c r="A35" s="39" t="s">
        <v>117</v>
      </c>
      <c r="B35" s="40" t="s">
        <v>95</v>
      </c>
      <c r="C35" s="40" t="s">
        <v>96</v>
      </c>
      <c r="D35" s="40" t="s">
        <v>97</v>
      </c>
      <c r="E35" s="40" t="s">
        <v>98</v>
      </c>
    </row>
    <row r="36" spans="1:5" x14ac:dyDescent="0.25">
      <c r="A36" s="46" t="s">
        <v>118</v>
      </c>
      <c r="B36" s="42">
        <v>1002</v>
      </c>
      <c r="C36" s="42">
        <v>2144</v>
      </c>
      <c r="D36" s="42">
        <v>6617</v>
      </c>
      <c r="E36" s="42">
        <v>6788</v>
      </c>
    </row>
    <row r="37" spans="1:5" x14ac:dyDescent="0.25">
      <c r="A37" s="46" t="s">
        <v>124</v>
      </c>
      <c r="B37" s="47">
        <f>B40-B39-B38-B36</f>
        <v>16471</v>
      </c>
      <c r="C37" s="47">
        <f>C40-C39-C38-C36</f>
        <v>13918</v>
      </c>
      <c r="D37" s="47">
        <f>D40-D39-D38-D36</f>
        <v>3124</v>
      </c>
      <c r="E37" s="47">
        <f>E40-E39-E38-E36</f>
        <v>8075</v>
      </c>
    </row>
    <row r="38" spans="1:5" x14ac:dyDescent="0.25">
      <c r="A38" s="46" t="s">
        <v>3</v>
      </c>
      <c r="B38" s="47">
        <v>15776</v>
      </c>
      <c r="C38" s="47">
        <v>12486</v>
      </c>
      <c r="D38" s="47">
        <v>15010</v>
      </c>
      <c r="E38" s="48">
        <v>12825</v>
      </c>
    </row>
    <row r="39" spans="1:5" x14ac:dyDescent="0.25">
      <c r="A39" s="46" t="s">
        <v>122</v>
      </c>
      <c r="B39" s="47">
        <f>8157+363</f>
        <v>8520</v>
      </c>
      <c r="C39" s="47">
        <f>6782+298</f>
        <v>7080</v>
      </c>
      <c r="D39" s="47">
        <f>5534+658</f>
        <v>6192</v>
      </c>
      <c r="E39" s="48">
        <f>4106+363</f>
        <v>4469</v>
      </c>
    </row>
    <row r="40" spans="1:5" x14ac:dyDescent="0.25">
      <c r="A40" s="38" t="s">
        <v>119</v>
      </c>
      <c r="B40" s="43">
        <v>41769</v>
      </c>
      <c r="C40" s="43">
        <v>35628</v>
      </c>
      <c r="D40" s="43">
        <v>30943</v>
      </c>
      <c r="E40" s="45">
        <v>32157</v>
      </c>
    </row>
    <row r="41" spans="1:5" x14ac:dyDescent="0.25">
      <c r="A41" s="46" t="s">
        <v>123</v>
      </c>
      <c r="B41" s="47">
        <v>1312</v>
      </c>
      <c r="C41" s="47">
        <v>564</v>
      </c>
      <c r="D41" s="47">
        <v>1285</v>
      </c>
      <c r="E41" s="47">
        <v>556</v>
      </c>
    </row>
    <row r="42" spans="1:5" x14ac:dyDescent="0.25">
      <c r="A42" s="46" t="s">
        <v>120</v>
      </c>
      <c r="B42" s="47">
        <v>11344</v>
      </c>
      <c r="C42" s="47">
        <v>9885</v>
      </c>
      <c r="D42" s="47">
        <v>9051</v>
      </c>
      <c r="E42" s="48">
        <v>9434</v>
      </c>
    </row>
    <row r="43" spans="1:5" x14ac:dyDescent="0.25">
      <c r="A43" s="46" t="s">
        <v>121</v>
      </c>
      <c r="B43" s="47">
        <v>12865</v>
      </c>
      <c r="C43" s="47">
        <f>C44-C42-C41-C40</f>
        <v>14896</v>
      </c>
      <c r="D43" s="47">
        <f>D44-D42-D41-D40</f>
        <v>18236</v>
      </c>
      <c r="E43" s="47">
        <f>E44-E42-E41-E40</f>
        <v>19348</v>
      </c>
    </row>
    <row r="44" spans="1:5" x14ac:dyDescent="0.25">
      <c r="A44" s="38" t="s">
        <v>12</v>
      </c>
      <c r="B44" s="43">
        <f>SUM(B40:B43)</f>
        <v>67290</v>
      </c>
      <c r="C44" s="43">
        <v>60973</v>
      </c>
      <c r="D44" s="43">
        <v>59515</v>
      </c>
      <c r="E44" s="43">
        <v>61495</v>
      </c>
    </row>
    <row r="45" spans="1:5" x14ac:dyDescent="0.25">
      <c r="A45" s="36" t="s">
        <v>125</v>
      </c>
      <c r="B45" s="41">
        <v>12640</v>
      </c>
      <c r="C45" s="41">
        <v>7000</v>
      </c>
      <c r="D45" s="41">
        <v>2000</v>
      </c>
      <c r="E45" s="42">
        <v>5000</v>
      </c>
    </row>
    <row r="46" spans="1:5" x14ac:dyDescent="0.25">
      <c r="A46" s="36" t="s">
        <v>126</v>
      </c>
      <c r="B46" s="41">
        <v>5877</v>
      </c>
      <c r="C46" s="41">
        <v>4138</v>
      </c>
      <c r="D46" s="41">
        <v>5601</v>
      </c>
      <c r="E46" s="42">
        <v>5305</v>
      </c>
    </row>
    <row r="47" spans="1:5" x14ac:dyDescent="0.25">
      <c r="A47" s="36" t="s">
        <v>127</v>
      </c>
      <c r="B47" s="41">
        <v>0</v>
      </c>
      <c r="C47" s="41">
        <v>3863</v>
      </c>
      <c r="D47" s="41">
        <v>3880</v>
      </c>
      <c r="E47" s="42">
        <v>4655</v>
      </c>
    </row>
    <row r="48" spans="1:5" x14ac:dyDescent="0.25">
      <c r="A48" s="36" t="s">
        <v>128</v>
      </c>
      <c r="B48" s="41">
        <v>1471</v>
      </c>
      <c r="C48" s="41">
        <v>1606</v>
      </c>
      <c r="D48" s="41">
        <v>1988</v>
      </c>
      <c r="E48" s="42">
        <v>1701</v>
      </c>
    </row>
    <row r="49" spans="1:5" x14ac:dyDescent="0.25">
      <c r="A49" s="38" t="s">
        <v>129</v>
      </c>
      <c r="B49" s="43">
        <f>SUM(B45:B48)</f>
        <v>19988</v>
      </c>
      <c r="C49" s="43">
        <f>SUM(C45:C48)</f>
        <v>16607</v>
      </c>
      <c r="D49" s="43">
        <f>SUM(D45:D48)</f>
        <v>13469</v>
      </c>
      <c r="E49" s="43">
        <f>SUM(E45:E48)</f>
        <v>16661</v>
      </c>
    </row>
    <row r="50" spans="1:5" x14ac:dyDescent="0.25">
      <c r="A50" s="36" t="s">
        <v>130</v>
      </c>
      <c r="B50" s="41">
        <v>854</v>
      </c>
      <c r="C50" s="41">
        <v>565</v>
      </c>
      <c r="D50" s="41">
        <v>412</v>
      </c>
      <c r="E50" s="41">
        <v>400</v>
      </c>
    </row>
    <row r="51" spans="1:5" x14ac:dyDescent="0.25">
      <c r="A51" s="36" t="s">
        <v>131</v>
      </c>
      <c r="B51" s="41">
        <v>6294</v>
      </c>
      <c r="C51" s="41">
        <v>5537</v>
      </c>
      <c r="D51" s="41">
        <v>4752</v>
      </c>
      <c r="E51" s="41">
        <v>6005</v>
      </c>
    </row>
    <row r="52" spans="1:5" x14ac:dyDescent="0.25">
      <c r="A52" s="36" t="s">
        <v>132</v>
      </c>
      <c r="B52" s="41">
        <v>1107</v>
      </c>
      <c r="C52" s="41">
        <v>1158</v>
      </c>
      <c r="D52" s="41">
        <v>1235</v>
      </c>
      <c r="E52" s="41">
        <v>1322</v>
      </c>
    </row>
    <row r="53" spans="1:5" x14ac:dyDescent="0.25">
      <c r="A53" s="38" t="s">
        <v>133</v>
      </c>
      <c r="B53" s="43">
        <f>B52+B51</f>
        <v>7401</v>
      </c>
      <c r="C53" s="43">
        <f>C52+C51</f>
        <v>6695</v>
      </c>
      <c r="D53" s="43">
        <f>D52+D51</f>
        <v>5987</v>
      </c>
      <c r="E53" s="43">
        <f>E52+E51</f>
        <v>7327</v>
      </c>
    </row>
    <row r="54" spans="1:5" x14ac:dyDescent="0.25">
      <c r="A54" s="36" t="s">
        <v>5</v>
      </c>
      <c r="B54" s="41">
        <f>B56-B55</f>
        <v>24835</v>
      </c>
      <c r="C54" s="41">
        <f>C56-C55</f>
        <v>24835</v>
      </c>
      <c r="D54" s="41">
        <f>D56-D55</f>
        <v>24835</v>
      </c>
      <c r="E54" s="41">
        <f>E56-E55</f>
        <v>24835</v>
      </c>
    </row>
    <row r="55" spans="1:5" x14ac:dyDescent="0.25">
      <c r="A55" s="36" t="s">
        <v>134</v>
      </c>
      <c r="B55" s="41">
        <v>14212</v>
      </c>
      <c r="C55" s="41">
        <v>12271</v>
      </c>
      <c r="D55" s="41">
        <v>14812</v>
      </c>
      <c r="E55" s="41">
        <v>12272</v>
      </c>
    </row>
    <row r="56" spans="1:5" x14ac:dyDescent="0.25">
      <c r="A56" s="38" t="s">
        <v>135</v>
      </c>
      <c r="B56" s="43">
        <v>39047</v>
      </c>
      <c r="C56" s="43">
        <v>37106</v>
      </c>
      <c r="D56" s="43">
        <v>39647</v>
      </c>
      <c r="E56" s="43">
        <v>37107</v>
      </c>
    </row>
    <row r="57" spans="1:5" x14ac:dyDescent="0.25">
      <c r="A57" s="38" t="s">
        <v>13</v>
      </c>
      <c r="B57" s="43">
        <f>B56+B53+B50+B49</f>
        <v>67290</v>
      </c>
      <c r="C57" s="43">
        <f>C56+C53+C50+C49</f>
        <v>60973</v>
      </c>
      <c r="D57" s="43">
        <f>D56+D53+D50+D49</f>
        <v>59515</v>
      </c>
      <c r="E57" s="43">
        <f>E56+E53+E50+E49</f>
        <v>61495</v>
      </c>
    </row>
    <row r="59" spans="1:5" x14ac:dyDescent="0.25">
      <c r="B59" s="49"/>
      <c r="C59" s="49"/>
      <c r="D59" s="49"/>
      <c r="E59" s="49"/>
    </row>
  </sheetData>
  <pageMargins left="0.7" right="0.7" top="0.75" bottom="0.75" header="0.3" footer="0.3"/>
  <pageSetup orientation="portrait"/>
  <ignoredErrors>
    <ignoredError sqref="B23 C23:E23" formula="1"/>
    <ignoredError sqref="C49:E49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Synthèse données &amp; ratios</vt:lpstr>
      <vt:lpstr>Contributions</vt:lpstr>
      <vt:lpstr>Premier semestre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Consulting</dc:creator>
  <cp:lastModifiedBy>Anouar Hassoune</cp:lastModifiedBy>
  <dcterms:created xsi:type="dcterms:W3CDTF">2013-02-17T08:35:08Z</dcterms:created>
  <dcterms:modified xsi:type="dcterms:W3CDTF">2021-12-15T17:26:16Z</dcterms:modified>
</cp:coreProperties>
</file>